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P:\Prosit\7 HANKINNAT\4 Maankäyttö_infra\4_2 Henkilökuljetukset\Kohde 12\Tarjouspyyntö\Lopullinen\"/>
    </mc:Choice>
  </mc:AlternateContent>
  <xr:revisionPtr revIDLastSave="0" documentId="8_{5BF8E9B7-7560-43E3-B869-4E41DA55DE30}" xr6:coauthVersionLast="47" xr6:coauthVersionMax="47" xr10:uidLastSave="{00000000-0000-0000-0000-000000000000}"/>
  <bookViews>
    <workbookView xWindow="-120" yWindow="-120" windowWidth="25440" windowHeight="15390" tabRatio="614" xr2:uid="{00000000-000D-0000-FFFF-FFFF00000000}"/>
  </bookViews>
  <sheets>
    <sheet name="Kohde 12 TALVI Ma-Pe KP" sheetId="18" r:id="rId1"/>
    <sheet name="Kohde 12 TALVI Ma-Pe LP" sheetId="35" r:id="rId2"/>
    <sheet name="Kohde 12 TALVI La" sheetId="22" r:id="rId3"/>
    <sheet name="TALVI aikat Hml-Hauho" sheetId="20" r:id="rId4"/>
    <sheet name="Kohde 12 KESÄ ma-pe" sheetId="28" r:id="rId5"/>
    <sheet name="Kohde KESÄ LA" sheetId="30" r:id="rId6"/>
    <sheet name="KESÄ Hml-Hauho" sheetId="38" r:id="rId7"/>
    <sheet name="Kilometrit" sheetId="3" r:id="rId8"/>
    <sheet name="Suoritteet" sheetId="4" r:id="rId9"/>
  </sheets>
  <definedNames>
    <definedName name="_FilterDatabase" localSheetId="4" hidden="1">'Kohde 12 KESÄ ma-pe'!$J$4:$J$11</definedName>
    <definedName name="_FilterDatabase" localSheetId="2" hidden="1">'Kohde 12 TALVI La'!$H$4:$H$23</definedName>
    <definedName name="_FilterDatabase" localSheetId="0" hidden="1">'Kohde 12 TALVI Ma-Pe KP'!$J$3:$J$11</definedName>
    <definedName name="_FilterDatabase" localSheetId="1" hidden="1">'Kohde 12 TALVI Ma-Pe LP'!$J$4:$J$11</definedName>
    <definedName name="_FilterDatabase" localSheetId="5" hidden="1">'Kohde KESÄ LA'!$H$4:$H$16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4" l="1"/>
  <c r="L13" i="4" s="1"/>
  <c r="H12" i="4"/>
  <c r="L12" i="4" s="1"/>
  <c r="H7" i="4"/>
  <c r="L7" i="4" s="1"/>
  <c r="P11" i="4"/>
  <c r="O11" i="4"/>
  <c r="Q11" i="4" s="1"/>
  <c r="N17" i="38" l="1"/>
  <c r="N13" i="38"/>
  <c r="N32" i="38"/>
  <c r="D5" i="30" l="1"/>
  <c r="C5" i="30"/>
  <c r="D21" i="30"/>
  <c r="D20" i="30"/>
  <c r="D19" i="30"/>
  <c r="D18" i="30"/>
  <c r="I17" i="30"/>
  <c r="D17" i="30"/>
  <c r="D15" i="30"/>
  <c r="D14" i="30"/>
  <c r="I13" i="30"/>
  <c r="M13" i="30" s="1"/>
  <c r="D13" i="30"/>
  <c r="O13" i="30" l="1"/>
  <c r="M35" i="38"/>
  <c r="M17" i="30"/>
  <c r="N15" i="38"/>
  <c r="D59" i="18"/>
  <c r="D60" i="18"/>
  <c r="K20" i="20"/>
  <c r="H46" i="20"/>
  <c r="L33" i="22"/>
  <c r="D5" i="22"/>
  <c r="C5" i="22"/>
  <c r="D20" i="22"/>
  <c r="D19" i="22"/>
  <c r="D18" i="22"/>
  <c r="I17" i="22"/>
  <c r="M17" i="22" s="1"/>
  <c r="O17" i="22" s="1"/>
  <c r="G18" i="22" s="1"/>
  <c r="I18" i="22" s="1"/>
  <c r="D17" i="22"/>
  <c r="D14" i="22"/>
  <c r="D15" i="22"/>
  <c r="O17" i="30" l="1"/>
  <c r="N18" i="38"/>
  <c r="G14" i="30"/>
  <c r="M36" i="38"/>
  <c r="K24" i="20"/>
  <c r="K27" i="20"/>
  <c r="K32" i="20"/>
  <c r="M18" i="22"/>
  <c r="O18" i="22" s="1"/>
  <c r="G19" i="22" s="1"/>
  <c r="I14" i="30" l="1"/>
  <c r="M12" i="38"/>
  <c r="G18" i="30"/>
  <c r="N19" i="38"/>
  <c r="I19" i="22"/>
  <c r="N20" i="20"/>
  <c r="I18" i="30" l="1"/>
  <c r="O30" i="38"/>
  <c r="K14" i="30"/>
  <c r="M14" i="38"/>
  <c r="K19" i="22"/>
  <c r="N22" i="20"/>
  <c r="O14" i="30" l="1"/>
  <c r="M16" i="38"/>
  <c r="M18" i="30"/>
  <c r="O33" i="38"/>
  <c r="O19" i="22"/>
  <c r="N23" i="20"/>
  <c r="O18" i="30" l="1"/>
  <c r="O35" i="38"/>
  <c r="G15" i="30"/>
  <c r="M19" i="38"/>
  <c r="G20" i="22"/>
  <c r="N32" i="20"/>
  <c r="I15" i="30" l="1"/>
  <c r="N30" i="38"/>
  <c r="G19" i="30"/>
  <c r="O36" i="38"/>
  <c r="I20" i="22"/>
  <c r="P44" i="20"/>
  <c r="I19" i="30" l="1"/>
  <c r="O12" i="38"/>
  <c r="M15" i="30"/>
  <c r="N31" i="38"/>
  <c r="M20" i="22"/>
  <c r="P49" i="20"/>
  <c r="O15" i="30" l="1"/>
  <c r="N34" i="38"/>
  <c r="K19" i="30"/>
  <c r="O14" i="38"/>
  <c r="O20" i="22"/>
  <c r="P50" i="20"/>
  <c r="O19" i="30" l="1"/>
  <c r="O16" i="38"/>
  <c r="C6" i="30"/>
  <c r="N36" i="38"/>
  <c r="G21" i="22"/>
  <c r="P54" i="20"/>
  <c r="G20" i="30" l="1"/>
  <c r="O19" i="38"/>
  <c r="F5" i="35"/>
  <c r="E5" i="35"/>
  <c r="D5" i="35"/>
  <c r="C5" i="35"/>
  <c r="I20" i="30" l="1"/>
  <c r="P30" i="38"/>
  <c r="H5" i="18"/>
  <c r="G5" i="18"/>
  <c r="F5" i="18"/>
  <c r="E5" i="18"/>
  <c r="D5" i="18"/>
  <c r="C5" i="18"/>
  <c r="M20" i="30" l="1"/>
  <c r="P33" i="38"/>
  <c r="I5" i="18"/>
  <c r="D41" i="18"/>
  <c r="I41" i="18"/>
  <c r="K41" i="18" s="1"/>
  <c r="S41" i="18" s="1"/>
  <c r="D55" i="18"/>
  <c r="I55" i="18"/>
  <c r="K55" i="18" s="1"/>
  <c r="S55" i="18" s="1"/>
  <c r="G56" i="18" s="1"/>
  <c r="I56" i="18" s="1"/>
  <c r="K56" i="18" s="1"/>
  <c r="M56" i="18" s="1"/>
  <c r="O56" i="18" s="1"/>
  <c r="Q56" i="18" s="1"/>
  <c r="S56" i="18" s="1"/>
  <c r="I6" i="18" s="1"/>
  <c r="D56" i="18"/>
  <c r="O20" i="30" l="1"/>
  <c r="P35" i="38"/>
  <c r="I18" i="28"/>
  <c r="G15" i="38" s="1"/>
  <c r="G13" i="38"/>
  <c r="G21" i="30" l="1"/>
  <c r="P36" i="38"/>
  <c r="M18" i="28"/>
  <c r="I23" i="28"/>
  <c r="K23" i="28" s="1"/>
  <c r="S23" i="28" s="1"/>
  <c r="I39" i="28"/>
  <c r="K39" i="28" s="1"/>
  <c r="S39" i="28" s="1"/>
  <c r="I37" i="28"/>
  <c r="K37" i="28" s="1"/>
  <c r="S37" i="28" s="1"/>
  <c r="I32" i="28"/>
  <c r="K32" i="28" s="1"/>
  <c r="I19" i="28"/>
  <c r="K19" i="28" s="1"/>
  <c r="S19" i="28" s="1"/>
  <c r="I14" i="28"/>
  <c r="K14" i="28" s="1"/>
  <c r="I33" i="28"/>
  <c r="C26" i="3"/>
  <c r="I21" i="30" l="1"/>
  <c r="P12" i="38"/>
  <c r="G18" i="38"/>
  <c r="S18" i="28"/>
  <c r="K21" i="30" l="1"/>
  <c r="P14" i="38"/>
  <c r="D25" i="28"/>
  <c r="O21" i="30" l="1"/>
  <c r="P16" i="38"/>
  <c r="D20" i="3"/>
  <c r="C19" i="3"/>
  <c r="C20" i="3"/>
  <c r="D28" i="18"/>
  <c r="D6" i="30" l="1"/>
  <c r="P19" i="38"/>
  <c r="D18" i="28"/>
  <c r="C13" i="3"/>
  <c r="B12" i="38" l="1"/>
  <c r="C12" i="38"/>
  <c r="D12" i="38"/>
  <c r="E12" i="38"/>
  <c r="F12" i="38"/>
  <c r="H12" i="38"/>
  <c r="I12" i="38"/>
  <c r="J12" i="38"/>
  <c r="K12" i="38"/>
  <c r="D14" i="38"/>
  <c r="B28" i="38"/>
  <c r="F29" i="38"/>
  <c r="C30" i="38"/>
  <c r="D30" i="38"/>
  <c r="E30" i="38"/>
  <c r="G30" i="38"/>
  <c r="H30" i="38"/>
  <c r="I30" i="38"/>
  <c r="J30" i="38"/>
  <c r="K30" i="38"/>
  <c r="D33" i="38"/>
  <c r="G33" i="38"/>
  <c r="H33" i="38"/>
  <c r="I33" i="38"/>
  <c r="K33" i="38"/>
  <c r="H35" i="38"/>
  <c r="K35" i="38"/>
  <c r="K36" i="38"/>
  <c r="M30" i="38"/>
  <c r="M33" i="38"/>
  <c r="D30" i="28"/>
  <c r="D29" i="28"/>
  <c r="C42" i="3"/>
  <c r="D13" i="35"/>
  <c r="I13" i="35"/>
  <c r="K13" i="35"/>
  <c r="S13" i="35" s="1"/>
  <c r="D14" i="35"/>
  <c r="I14" i="35"/>
  <c r="K14" i="35" s="1"/>
  <c r="S14" i="35" s="1"/>
  <c r="D15" i="35"/>
  <c r="I15" i="35"/>
  <c r="K15" i="35" s="1"/>
  <c r="S15" i="35" s="1"/>
  <c r="D17" i="35"/>
  <c r="I17" i="35"/>
  <c r="K17" i="35" s="1"/>
  <c r="M17" i="35" s="1"/>
  <c r="S17" i="35" s="1"/>
  <c r="D18" i="35"/>
  <c r="I18" i="35"/>
  <c r="K18" i="35"/>
  <c r="M18" i="35" s="1"/>
  <c r="S18" i="35" s="1"/>
  <c r="D19" i="35"/>
  <c r="I19" i="35"/>
  <c r="K19" i="35" s="1"/>
  <c r="M19" i="35" s="1"/>
  <c r="O19" i="35" s="1"/>
  <c r="S19" i="35" s="1"/>
  <c r="D20" i="35"/>
  <c r="I20" i="35"/>
  <c r="K20" i="35" s="1"/>
  <c r="S20" i="35" s="1"/>
  <c r="D21" i="35"/>
  <c r="I21" i="35"/>
  <c r="K21" i="35" s="1"/>
  <c r="S21" i="35" s="1"/>
  <c r="D22" i="35"/>
  <c r="I22" i="35"/>
  <c r="M22" i="35" s="1"/>
  <c r="S22" i="35" s="1"/>
  <c r="D23" i="35"/>
  <c r="I23" i="35"/>
  <c r="K23" i="35" s="1"/>
  <c r="S23" i="35" s="1"/>
  <c r="D24" i="35"/>
  <c r="I24" i="35"/>
  <c r="K24" i="35"/>
  <c r="S24" i="35" s="1"/>
  <c r="D25" i="35"/>
  <c r="I25" i="35"/>
  <c r="K25" i="35" s="1"/>
  <c r="M25" i="35" s="1"/>
  <c r="S25" i="35" s="1"/>
  <c r="D6" i="35" s="1"/>
  <c r="D7" i="35" s="1"/>
  <c r="D28" i="35"/>
  <c r="I28" i="35"/>
  <c r="K28" i="35" s="1"/>
  <c r="M28" i="35" s="1"/>
  <c r="O28" i="35" s="1"/>
  <c r="Q28" i="35" s="1"/>
  <c r="S28" i="35" s="1"/>
  <c r="D29" i="35"/>
  <c r="I29" i="35"/>
  <c r="K29" i="35" s="1"/>
  <c r="S29" i="35" s="1"/>
  <c r="D30" i="35"/>
  <c r="I30" i="35"/>
  <c r="K30" i="35" s="1"/>
  <c r="S30" i="35" s="1"/>
  <c r="D31" i="35"/>
  <c r="I31" i="35"/>
  <c r="K31" i="35" s="1"/>
  <c r="S31" i="35" s="1"/>
  <c r="D32" i="35"/>
  <c r="I32" i="35"/>
  <c r="M32" i="35" s="1"/>
  <c r="S32" i="35" s="1"/>
  <c r="D34" i="35"/>
  <c r="I34" i="35"/>
  <c r="K34" i="35" s="1"/>
  <c r="S34" i="35" s="1"/>
  <c r="D35" i="35"/>
  <c r="I35" i="35"/>
  <c r="K35" i="35" s="1"/>
  <c r="S35" i="35" s="1"/>
  <c r="D36" i="35"/>
  <c r="I36" i="35"/>
  <c r="K36" i="35" s="1"/>
  <c r="S36" i="35" s="1"/>
  <c r="D37" i="35"/>
  <c r="I37" i="35"/>
  <c r="K37" i="35" s="1"/>
  <c r="S37" i="35" s="1"/>
  <c r="F6" i="35" s="1"/>
  <c r="F7" i="35" s="1"/>
  <c r="D60" i="35"/>
  <c r="I36" i="38"/>
  <c r="I38" i="28"/>
  <c r="K38" i="28" s="1"/>
  <c r="S38" i="28" s="1"/>
  <c r="H19" i="38" s="1"/>
  <c r="G36" i="38"/>
  <c r="I36" i="28"/>
  <c r="K36" i="28" s="1"/>
  <c r="S36" i="28" s="1"/>
  <c r="F19" i="38" s="1"/>
  <c r="I34" i="28"/>
  <c r="M34" i="28" s="1"/>
  <c r="K33" i="28"/>
  <c r="S33" i="28" s="1"/>
  <c r="D19" i="38" s="1"/>
  <c r="S32" i="28"/>
  <c r="D36" i="38" s="1"/>
  <c r="I31" i="28"/>
  <c r="K31" i="28" s="1"/>
  <c r="I28" i="28"/>
  <c r="K28" i="28" s="1"/>
  <c r="Q28" i="28" s="1"/>
  <c r="S28" i="28" s="1"/>
  <c r="I24" i="28"/>
  <c r="K24" i="28" s="1"/>
  <c r="S24" i="28" s="1"/>
  <c r="G25" i="28" s="1"/>
  <c r="S25" i="28" s="1"/>
  <c r="D6" i="28" s="1"/>
  <c r="I22" i="28"/>
  <c r="K22" i="28" s="1"/>
  <c r="S22" i="28" s="1"/>
  <c r="J19" i="38" s="1"/>
  <c r="I21" i="28"/>
  <c r="M21" i="28" s="1"/>
  <c r="S21" i="28" s="1"/>
  <c r="J36" i="38" s="1"/>
  <c r="I20" i="28"/>
  <c r="I14" i="38" s="1"/>
  <c r="H36" i="38"/>
  <c r="G19" i="38"/>
  <c r="I17" i="28"/>
  <c r="F30" i="38" s="1"/>
  <c r="K16" i="28"/>
  <c r="M16" i="28" s="1"/>
  <c r="I16" i="28"/>
  <c r="E14" i="38" s="1"/>
  <c r="C33" i="38"/>
  <c r="I13" i="28"/>
  <c r="K13" i="28" s="1"/>
  <c r="S13" i="28" s="1"/>
  <c r="B19" i="38" s="1"/>
  <c r="B33" i="38" l="1"/>
  <c r="H16" i="38"/>
  <c r="S31" i="28"/>
  <c r="C19" i="38" s="1"/>
  <c r="C16" i="38"/>
  <c r="S34" i="28"/>
  <c r="E36" i="38" s="1"/>
  <c r="E34" i="38"/>
  <c r="S16" i="28"/>
  <c r="E20" i="38" s="1"/>
  <c r="E19" i="38"/>
  <c r="K20" i="28"/>
  <c r="J31" i="38"/>
  <c r="F16" i="38"/>
  <c r="H14" i="38"/>
  <c r="E31" i="38"/>
  <c r="E16" i="38"/>
  <c r="F14" i="38"/>
  <c r="D16" i="38"/>
  <c r="B30" i="38"/>
  <c r="K19" i="38"/>
  <c r="K16" i="38"/>
  <c r="B16" i="38"/>
  <c r="C14" i="38"/>
  <c r="J16" i="38"/>
  <c r="K14" i="38"/>
  <c r="B14" i="38"/>
  <c r="K17" i="28"/>
  <c r="J14" i="38"/>
  <c r="C6" i="35"/>
  <c r="C7" i="35" s="1"/>
  <c r="J7" i="35" s="1"/>
  <c r="G7" i="4" s="1"/>
  <c r="K7" i="4" s="1"/>
  <c r="E6" i="35"/>
  <c r="E7" i="35" s="1"/>
  <c r="I35" i="38"/>
  <c r="G35" i="38"/>
  <c r="Q29" i="28"/>
  <c r="B35" i="38"/>
  <c r="D35" i="38"/>
  <c r="S14" i="28"/>
  <c r="I21" i="22"/>
  <c r="K21" i="22" s="1"/>
  <c r="I13" i="22"/>
  <c r="M13" i="22" s="1"/>
  <c r="O13" i="22" s="1"/>
  <c r="G14" i="22" s="1"/>
  <c r="S20" i="28" l="1"/>
  <c r="I19" i="38" s="1"/>
  <c r="I16" i="38"/>
  <c r="M17" i="28"/>
  <c r="F33" i="38"/>
  <c r="I14" i="22"/>
  <c r="D20" i="20"/>
  <c r="O21" i="22"/>
  <c r="D6" i="22" s="1"/>
  <c r="S29" i="28"/>
  <c r="B37" i="38"/>
  <c r="B36" i="38"/>
  <c r="N6" i="28"/>
  <c r="C36" i="38"/>
  <c r="C35" i="38"/>
  <c r="S17" i="28" l="1"/>
  <c r="F36" i="38" s="1"/>
  <c r="F35" i="38"/>
  <c r="K14" i="22"/>
  <c r="D22" i="20"/>
  <c r="N7" i="28"/>
  <c r="G30" i="28"/>
  <c r="S30" i="28" s="1"/>
  <c r="B38" i="38"/>
  <c r="O14" i="22" l="1"/>
  <c r="D23" i="20"/>
  <c r="I38" i="18"/>
  <c r="K38" i="18" s="1"/>
  <c r="S38" i="18" s="1"/>
  <c r="F6" i="18" s="1"/>
  <c r="I37" i="18"/>
  <c r="K37" i="18" s="1"/>
  <c r="S37" i="18" s="1"/>
  <c r="I36" i="18"/>
  <c r="K36" i="18" s="1"/>
  <c r="S36" i="18" s="1"/>
  <c r="I35" i="18"/>
  <c r="K35" i="18" s="1"/>
  <c r="S35" i="18" s="1"/>
  <c r="I18" i="18"/>
  <c r="M18" i="18" s="1"/>
  <c r="S18" i="18" s="1"/>
  <c r="I44" i="18"/>
  <c r="I27" i="18"/>
  <c r="I26" i="18"/>
  <c r="K26" i="18" s="1"/>
  <c r="S26" i="18" s="1"/>
  <c r="I25" i="18"/>
  <c r="K25" i="18" s="1"/>
  <c r="S25" i="18" s="1"/>
  <c r="I24" i="18"/>
  <c r="M24" i="18" s="1"/>
  <c r="S24" i="18" s="1"/>
  <c r="I23" i="18"/>
  <c r="K23" i="18" s="1"/>
  <c r="S23" i="18" s="1"/>
  <c r="I22" i="18"/>
  <c r="K22" i="18" s="1"/>
  <c r="S22" i="18" s="1"/>
  <c r="I21" i="18"/>
  <c r="K21" i="18" s="1"/>
  <c r="M21" i="18" s="1"/>
  <c r="O21" i="18" s="1"/>
  <c r="S21" i="18" s="1"/>
  <c r="I19" i="18"/>
  <c r="K19" i="18" s="1"/>
  <c r="M19" i="18" s="1"/>
  <c r="I33" i="18"/>
  <c r="K33" i="18" s="1"/>
  <c r="S33" i="18" s="1"/>
  <c r="E6" i="18" s="1"/>
  <c r="I15" i="18"/>
  <c r="K15" i="18" s="1"/>
  <c r="I32" i="18"/>
  <c r="K32" i="18" s="1"/>
  <c r="I31" i="18"/>
  <c r="K31" i="18" s="1"/>
  <c r="I48" i="18"/>
  <c r="K48" i="18" s="1"/>
  <c r="S48" i="18" s="1"/>
  <c r="I45" i="18"/>
  <c r="K45" i="18" s="1"/>
  <c r="S45" i="18" s="1"/>
  <c r="G6" i="18" s="1"/>
  <c r="I14" i="18"/>
  <c r="K14" i="18" s="1"/>
  <c r="S14" i="18" s="1"/>
  <c r="G15" i="22" l="1"/>
  <c r="D33" i="20"/>
  <c r="M31" i="18"/>
  <c r="O31" i="18" s="1"/>
  <c r="Q31" i="18" s="1"/>
  <c r="S15" i="18"/>
  <c r="C6" i="18" s="1"/>
  <c r="C5" i="28"/>
  <c r="D5" i="28"/>
  <c r="E5" i="28"/>
  <c r="F5" i="28"/>
  <c r="D13" i="28"/>
  <c r="C6" i="28"/>
  <c r="D14" i="28"/>
  <c r="D16" i="28"/>
  <c r="D17" i="28"/>
  <c r="D19" i="28"/>
  <c r="D20" i="28"/>
  <c r="D21" i="28"/>
  <c r="D22" i="28"/>
  <c r="D23" i="28"/>
  <c r="D24" i="28"/>
  <c r="D28" i="28"/>
  <c r="D31" i="28"/>
  <c r="D32" i="28"/>
  <c r="D33" i="28"/>
  <c r="D34" i="28"/>
  <c r="D36" i="28"/>
  <c r="D37" i="28"/>
  <c r="D38" i="28"/>
  <c r="D39" i="28"/>
  <c r="D62" i="28"/>
  <c r="I15" i="22" l="1"/>
  <c r="H44" i="20"/>
  <c r="F6" i="28"/>
  <c r="F7" i="28" s="1"/>
  <c r="D7" i="28"/>
  <c r="C7" i="28"/>
  <c r="C7" i="30"/>
  <c r="M15" i="22" l="1"/>
  <c r="H45" i="20"/>
  <c r="D7" i="30"/>
  <c r="I6" i="30" s="1"/>
  <c r="G13" i="4" s="1"/>
  <c r="K13" i="4" s="1"/>
  <c r="O15" i="22" l="1"/>
  <c r="H53" i="20"/>
  <c r="E6" i="28"/>
  <c r="E7" i="28" s="1"/>
  <c r="J7" i="28" s="1"/>
  <c r="G12" i="4" s="1"/>
  <c r="K12" i="4" s="1"/>
  <c r="L43" i="20"/>
  <c r="D13" i="22"/>
  <c r="C6" i="22" l="1"/>
  <c r="H54" i="20"/>
  <c r="K49" i="18"/>
  <c r="I51" i="18"/>
  <c r="K51" i="18" s="1"/>
  <c r="M51" i="18" s="1"/>
  <c r="S51" i="18" s="1"/>
  <c r="R44" i="20"/>
  <c r="N43" i="20"/>
  <c r="C25" i="20"/>
  <c r="C45" i="20"/>
  <c r="C46" i="20"/>
  <c r="C44" i="20"/>
  <c r="C38" i="3"/>
  <c r="C39" i="3"/>
  <c r="C40" i="3"/>
  <c r="C41" i="3"/>
  <c r="D43" i="18"/>
  <c r="D52" i="18"/>
  <c r="D51" i="18"/>
  <c r="D50" i="18"/>
  <c r="I49" i="18"/>
  <c r="N44" i="20" s="1"/>
  <c r="D49" i="18"/>
  <c r="I42" i="18"/>
  <c r="K42" i="18" s="1"/>
  <c r="M42" i="18" s="1"/>
  <c r="D42" i="18"/>
  <c r="C37" i="3"/>
  <c r="C36" i="3"/>
  <c r="C34" i="3"/>
  <c r="C33" i="3"/>
  <c r="C26" i="20" l="1"/>
  <c r="Q42" i="18"/>
  <c r="S42" i="18" s="1"/>
  <c r="S43" i="18" s="1"/>
  <c r="C27" i="20"/>
  <c r="C47" i="20"/>
  <c r="N45" i="20"/>
  <c r="M49" i="18"/>
  <c r="S49" i="18" s="1"/>
  <c r="G50" i="18" s="1"/>
  <c r="I50" i="18" s="1"/>
  <c r="K50" i="18" s="1"/>
  <c r="M50" i="18" s="1"/>
  <c r="O50" i="18" s="1"/>
  <c r="S50" i="18" s="1"/>
  <c r="P32" i="20" s="1"/>
  <c r="R45" i="20"/>
  <c r="G52" i="18"/>
  <c r="R46" i="20"/>
  <c r="H8" i="4"/>
  <c r="L8" i="4" s="1"/>
  <c r="H6" i="4"/>
  <c r="L6" i="4" s="1"/>
  <c r="P26" i="20" l="1"/>
  <c r="N47" i="20"/>
  <c r="P27" i="20"/>
  <c r="N46" i="20"/>
  <c r="Q25" i="20"/>
  <c r="I52" i="18"/>
  <c r="K52" i="18" s="1"/>
  <c r="Q26" i="20" s="1"/>
  <c r="C33" i="20"/>
  <c r="C32" i="20"/>
  <c r="R47" i="20"/>
  <c r="R23" i="22"/>
  <c r="M52" i="18" l="1"/>
  <c r="S52" i="18" s="1"/>
  <c r="H6" i="18" s="1"/>
  <c r="H7" i="18" s="1"/>
  <c r="Q32" i="20" l="1"/>
  <c r="Q27" i="20"/>
  <c r="J53" i="20" l="1"/>
  <c r="J46" i="20"/>
  <c r="S46" i="20"/>
  <c r="S53" i="20"/>
  <c r="L44" i="20" l="1"/>
  <c r="F44" i="20"/>
  <c r="E54" i="20"/>
  <c r="E50" i="20"/>
  <c r="E49" i="20"/>
  <c r="E44" i="20"/>
  <c r="D41" i="20"/>
  <c r="B44" i="20"/>
  <c r="J20" i="20"/>
  <c r="I20" i="20"/>
  <c r="H20" i="20"/>
  <c r="B20" i="20"/>
  <c r="F47" i="20" l="1"/>
  <c r="F45" i="20"/>
  <c r="O22" i="20"/>
  <c r="B22" i="20"/>
  <c r="E25" i="20" l="1"/>
  <c r="O23" i="20"/>
  <c r="E26" i="20" l="1"/>
  <c r="O32" i="20"/>
  <c r="D21" i="22"/>
  <c r="E27" i="20" l="1"/>
  <c r="E32" i="20" l="1"/>
  <c r="I17" i="18"/>
  <c r="D38" i="18"/>
  <c r="D37" i="18"/>
  <c r="D36" i="18"/>
  <c r="D35" i="18"/>
  <c r="D18" i="18"/>
  <c r="D17" i="18"/>
  <c r="D44" i="18"/>
  <c r="D27" i="18"/>
  <c r="D26" i="18"/>
  <c r="D25" i="18"/>
  <c r="D24" i="18"/>
  <c r="K47" i="18"/>
  <c r="I13" i="18"/>
  <c r="K13" i="18" s="1"/>
  <c r="S13" i="18" s="1"/>
  <c r="D13" i="18"/>
  <c r="C22" i="3"/>
  <c r="C28" i="3"/>
  <c r="C12" i="3"/>
  <c r="H22" i="20" l="1"/>
  <c r="K17" i="18"/>
  <c r="S17" i="18" s="1"/>
  <c r="E33" i="20"/>
  <c r="H23" i="20"/>
  <c r="K44" i="18"/>
  <c r="B49" i="20"/>
  <c r="O47" i="18"/>
  <c r="L45" i="20"/>
  <c r="B23" i="20"/>
  <c r="I22" i="20"/>
  <c r="D44" i="20"/>
  <c r="J22" i="20"/>
  <c r="C7" i="22"/>
  <c r="S44" i="18" l="1"/>
  <c r="L47" i="20"/>
  <c r="S47" i="18"/>
  <c r="G7" i="18"/>
  <c r="H32" i="20"/>
  <c r="D49" i="20"/>
  <c r="J23" i="20"/>
  <c r="I23" i="20"/>
  <c r="B32" i="20"/>
  <c r="B54" i="20"/>
  <c r="B50" i="20"/>
  <c r="L54" i="20" l="1"/>
  <c r="G44" i="20"/>
  <c r="J32" i="20"/>
  <c r="J44" i="20"/>
  <c r="S19" i="18"/>
  <c r="I32" i="20"/>
  <c r="D50" i="20"/>
  <c r="L21" i="20"/>
  <c r="I34" i="20" l="1"/>
  <c r="M44" i="20"/>
  <c r="J45" i="20"/>
  <c r="D54" i="20"/>
  <c r="G49" i="20"/>
  <c r="L30" i="20"/>
  <c r="C6" i="3"/>
  <c r="C7" i="3"/>
  <c r="C8" i="3"/>
  <c r="C9" i="3"/>
  <c r="C15" i="3"/>
  <c r="C16" i="3"/>
  <c r="C18" i="3"/>
  <c r="C23" i="3"/>
  <c r="C25" i="3"/>
  <c r="C30" i="3"/>
  <c r="C31" i="3"/>
  <c r="S31" i="18" l="1"/>
  <c r="D56" i="20"/>
  <c r="M49" i="20"/>
  <c r="G50" i="20"/>
  <c r="J54" i="20"/>
  <c r="I20" i="18"/>
  <c r="K20" i="18" s="1"/>
  <c r="M20" i="18" s="1"/>
  <c r="S20" i="18" s="1"/>
  <c r="K42" i="20"/>
  <c r="L31" i="20"/>
  <c r="D23" i="18"/>
  <c r="D22" i="18"/>
  <c r="D21" i="18"/>
  <c r="D20" i="18"/>
  <c r="D19" i="18"/>
  <c r="D33" i="18"/>
  <c r="D32" i="18"/>
  <c r="D31" i="18"/>
  <c r="F20" i="20" l="1"/>
  <c r="D57" i="20"/>
  <c r="M50" i="20"/>
  <c r="K44" i="20"/>
  <c r="G54" i="20"/>
  <c r="L32" i="20"/>
  <c r="D14" i="18"/>
  <c r="K49" i="20" l="1"/>
  <c r="G20" i="20"/>
  <c r="M54" i="20"/>
  <c r="D47" i="18"/>
  <c r="D48" i="18"/>
  <c r="D45" i="18"/>
  <c r="D15" i="18"/>
  <c r="K50" i="20" l="1"/>
  <c r="O20" i="20"/>
  <c r="G22" i="20"/>
  <c r="F22" i="20"/>
  <c r="S32" i="18" l="1"/>
  <c r="F23" i="20"/>
  <c r="Q44" i="20"/>
  <c r="G23" i="20"/>
  <c r="K54" i="20"/>
  <c r="M20" i="20" l="1"/>
  <c r="Q49" i="20"/>
  <c r="G32" i="20"/>
  <c r="F32" i="20"/>
  <c r="Q50" i="20" l="1"/>
  <c r="I44" i="20"/>
  <c r="M22" i="20"/>
  <c r="I49" i="20" l="1"/>
  <c r="M23" i="20"/>
  <c r="Q54" i="20"/>
  <c r="I7" i="18"/>
  <c r="M28" i="20" l="1"/>
  <c r="E7" i="18"/>
  <c r="I50" i="20"/>
  <c r="C7" i="18"/>
  <c r="I54" i="20" l="1"/>
  <c r="M32" i="20"/>
  <c r="M29" i="20"/>
  <c r="C5" i="3" l="1"/>
  <c r="E17" i="30" l="1"/>
  <c r="E21" i="30"/>
  <c r="E15" i="30"/>
  <c r="C8" i="30" s="1"/>
  <c r="E15" i="22"/>
  <c r="C8" i="22" s="1"/>
  <c r="E17" i="22"/>
  <c r="E56" i="18"/>
  <c r="E55" i="18"/>
  <c r="E25" i="28"/>
  <c r="E28" i="18"/>
  <c r="M8" i="18" s="1"/>
  <c r="O44" i="20"/>
  <c r="D8" i="30" l="1"/>
  <c r="I7" i="30" s="1"/>
  <c r="F13" i="4" s="1"/>
  <c r="J13" i="4" s="1"/>
  <c r="I8" i="18"/>
  <c r="E37" i="28"/>
  <c r="E33" i="28"/>
  <c r="E22" i="28"/>
  <c r="E24" i="28"/>
  <c r="E32" i="28"/>
  <c r="E38" i="28"/>
  <c r="E34" i="28"/>
  <c r="E23" i="28"/>
  <c r="E28" i="28"/>
  <c r="E31" i="28"/>
  <c r="E39" i="28"/>
  <c r="E36" i="28"/>
  <c r="E17" i="28"/>
  <c r="E16" i="28"/>
  <c r="E30" i="28"/>
  <c r="E14" i="28"/>
  <c r="E21" i="28"/>
  <c r="E29" i="28"/>
  <c r="E18" i="28"/>
  <c r="E13" i="28"/>
  <c r="E19" i="28"/>
  <c r="E20" i="28"/>
  <c r="E34" i="35"/>
  <c r="E35" i="35"/>
  <c r="E13" i="35"/>
  <c r="E15" i="35"/>
  <c r="E14" i="35"/>
  <c r="E36" i="35"/>
  <c r="E18" i="35"/>
  <c r="E20" i="35"/>
  <c r="E17" i="35"/>
  <c r="E21" i="35"/>
  <c r="E32" i="35"/>
  <c r="E37" i="35"/>
  <c r="E22" i="35"/>
  <c r="E30" i="35"/>
  <c r="E24" i="35"/>
  <c r="E19" i="35"/>
  <c r="E28" i="35"/>
  <c r="E23" i="35"/>
  <c r="E25" i="35"/>
  <c r="E29" i="35"/>
  <c r="E31" i="35"/>
  <c r="E43" i="18"/>
  <c r="E50" i="18"/>
  <c r="E49" i="18"/>
  <c r="E51" i="18"/>
  <c r="E52" i="18"/>
  <c r="E42" i="18"/>
  <c r="E21" i="22"/>
  <c r="D8" i="22" s="1"/>
  <c r="E37" i="18"/>
  <c r="E25" i="18"/>
  <c r="E36" i="18"/>
  <c r="E26" i="18"/>
  <c r="E13" i="18"/>
  <c r="E35" i="18"/>
  <c r="E17" i="18"/>
  <c r="E38" i="18"/>
  <c r="E44" i="18"/>
  <c r="E24" i="18"/>
  <c r="E18" i="18"/>
  <c r="E27" i="18"/>
  <c r="O49" i="20"/>
  <c r="E21" i="18"/>
  <c r="E31" i="18"/>
  <c r="E22" i="18"/>
  <c r="E20" i="18"/>
  <c r="E32" i="18"/>
  <c r="E23" i="18"/>
  <c r="E19" i="18"/>
  <c r="E33" i="18"/>
  <c r="E14" i="18"/>
  <c r="E45" i="18"/>
  <c r="E47" i="18"/>
  <c r="E48" i="18"/>
  <c r="E15" i="18"/>
  <c r="E8" i="35" l="1"/>
  <c r="D8" i="35"/>
  <c r="F8" i="35"/>
  <c r="C8" i="35"/>
  <c r="D8" i="18"/>
  <c r="F8" i="18"/>
  <c r="H8" i="18"/>
  <c r="C8" i="18"/>
  <c r="G8" i="18"/>
  <c r="E8" i="18"/>
  <c r="C8" i="28"/>
  <c r="E8" i="28"/>
  <c r="D8" i="28"/>
  <c r="F8" i="28"/>
  <c r="N9" i="28"/>
  <c r="I7" i="22"/>
  <c r="F8" i="4" s="1"/>
  <c r="J8" i="4" s="1"/>
  <c r="O50" i="20"/>
  <c r="K8" i="18" l="1"/>
  <c r="F6" i="4" s="1"/>
  <c r="J6" i="4" s="1"/>
  <c r="J8" i="35"/>
  <c r="F7" i="4" s="1"/>
  <c r="J7" i="4" s="1"/>
  <c r="J8" i="28"/>
  <c r="F12" i="4" s="1"/>
  <c r="J12" i="4" s="1"/>
  <c r="O54" i="20"/>
  <c r="R20" i="20" l="1"/>
  <c r="R22" i="20" l="1"/>
  <c r="R23" i="20" l="1"/>
  <c r="R32" i="20" l="1"/>
  <c r="S44" i="20" l="1"/>
  <c r="S45" i="20" l="1"/>
  <c r="S54" i="20" l="1"/>
  <c r="S20" i="20" l="1"/>
  <c r="S22" i="20" l="1"/>
  <c r="S23" i="20" l="1"/>
  <c r="S32" i="20" l="1"/>
  <c r="T44" i="20" l="1"/>
  <c r="T49" i="20" l="1"/>
  <c r="T50" i="20" l="1"/>
  <c r="T54" i="20" l="1"/>
  <c r="T20" i="20" l="1"/>
  <c r="K27" i="18" l="1"/>
  <c r="S27" i="18" s="1"/>
  <c r="D6" i="18" s="1"/>
  <c r="D7" i="18" s="1"/>
  <c r="T22" i="20"/>
  <c r="S28" i="18" l="1"/>
  <c r="M6" i="18" s="1"/>
  <c r="G28" i="18"/>
  <c r="M5" i="18" s="1"/>
  <c r="T23" i="20"/>
  <c r="M7" i="18" l="1"/>
  <c r="T32" i="20"/>
  <c r="F7" i="18" l="1"/>
  <c r="K7" i="18" s="1"/>
  <c r="G6" i="4" l="1"/>
  <c r="K6" i="4" s="1"/>
  <c r="D7" i="22"/>
  <c r="I6" i="22" s="1"/>
  <c r="G8" i="4" s="1"/>
  <c r="K8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Permikangas Hannamaija</author>
  </authors>
  <commentList>
    <comment ref="L17" authorId="0" shapeId="0" xr:uid="{00000000-0006-0000-0600-000001000000}">
      <text>
        <r>
          <rPr>
            <b/>
            <sz val="9"/>
            <color indexed="81"/>
            <rFont val="Tahoma"/>
            <family val="2"/>
          </rPr>
          <t>Permikangas Hannamaija:</t>
        </r>
        <r>
          <rPr>
            <sz val="9"/>
            <color indexed="81"/>
            <rFont val="Tahoma"/>
            <family val="2"/>
          </rPr>
          <t xml:space="preserve">
kouluvuoro</t>
        </r>
      </text>
    </comment>
    <comment ref="L30" authorId="0" shapeId="0" xr:uid="{00000000-0006-0000-0600-000002000000}">
      <text>
        <r>
          <rPr>
            <b/>
            <sz val="9"/>
            <color indexed="81"/>
            <rFont val="Tahoma"/>
            <family val="2"/>
          </rPr>
          <t>Permikangas Hannamaija:</t>
        </r>
        <r>
          <rPr>
            <sz val="9"/>
            <color indexed="81"/>
            <rFont val="Tahoma"/>
            <family val="2"/>
          </rPr>
          <t xml:space="preserve">
tää voi olla vähän tiukka, mutta on makukysymys, koulu loppuu klo 14.30 uudella aikataululla
Juteini loppuu klo 14:45, vois olla mahdollisuus laittaa myös Juteinilaisia mukaan jos myöhästyttäisi vähän, kannttaa kuitenkin tarkistaa Iinalta onko tarvetta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Järvinen Jukka</author>
  </authors>
  <commentList>
    <comment ref="Q11" authorId="0" shapeId="0" xr:uid="{8F73488E-6258-4046-BC31-24E6E175F915}">
      <text>
        <r>
          <rPr>
            <b/>
            <sz val="9"/>
            <color indexed="81"/>
            <rFont val="Tahoma"/>
            <family val="2"/>
          </rPr>
          <t>Järvinen Jukka:</t>
        </r>
        <r>
          <rPr>
            <sz val="9"/>
            <color indexed="81"/>
            <rFont val="Tahoma"/>
            <family val="2"/>
          </rPr>
          <t xml:space="preserve">
lisäksi juhannusaatto ja -päivä sekä jouluaatto ja -päivä
</t>
        </r>
      </text>
    </comment>
  </commentList>
</comments>
</file>

<file path=xl/sharedStrings.xml><?xml version="1.0" encoding="utf-8"?>
<sst xmlns="http://schemas.openxmlformats.org/spreadsheetml/2006/main" count="1231" uniqueCount="204">
  <si>
    <t>Autokierto</t>
  </si>
  <si>
    <t>Alku</t>
  </si>
  <si>
    <t>Loppu</t>
  </si>
  <si>
    <t>yhteensä</t>
  </si>
  <si>
    <t>autoh</t>
  </si>
  <si>
    <t>Km yhteensä</t>
  </si>
  <si>
    <t>autokm</t>
  </si>
  <si>
    <t>Autopäivät</t>
  </si>
  <si>
    <t>Autopv</t>
  </si>
  <si>
    <t>Linja</t>
  </si>
  <si>
    <t>suunta</t>
  </si>
  <si>
    <t>autokierto</t>
  </si>
  <si>
    <t>km</t>
  </si>
  <si>
    <t>kalusto</t>
  </si>
  <si>
    <t>lähtöaika</t>
  </si>
  <si>
    <t>lähtöpaikka</t>
  </si>
  <si>
    <t>päätepiste</t>
  </si>
  <si>
    <t>saapumisaika</t>
  </si>
  <si>
    <t>väliaika</t>
  </si>
  <si>
    <t>Kilometrit</t>
  </si>
  <si>
    <t>Reitti</t>
  </si>
  <si>
    <t>auto 1ip</t>
  </si>
  <si>
    <t>Auto 1ap</t>
  </si>
  <si>
    <t>välipaikka</t>
  </si>
  <si>
    <t>la</t>
  </si>
  <si>
    <t>su</t>
  </si>
  <si>
    <t>YHTEENSÄ</t>
  </si>
  <si>
    <t>talvi</t>
  </si>
  <si>
    <t>kesä</t>
  </si>
  <si>
    <t>Parolan koulut</t>
  </si>
  <si>
    <t>Hml ras</t>
  </si>
  <si>
    <t>Hml las</t>
  </si>
  <si>
    <t>linjanumero</t>
  </si>
  <si>
    <t>liikennöintipäivät</t>
  </si>
  <si>
    <t>ma-pe</t>
  </si>
  <si>
    <t>ko</t>
  </si>
  <si>
    <t>Hämeenlinnan las, laituri 1</t>
  </si>
  <si>
    <t>Hämeenlinnan ras</t>
  </si>
  <si>
    <t>I</t>
  </si>
  <si>
    <t>|</t>
  </si>
  <si>
    <t>Hämeenlinnan las</t>
  </si>
  <si>
    <t>Tavastia</t>
  </si>
  <si>
    <t>Hauho-Alvettula-Ilmoila-Hml</t>
  </si>
  <si>
    <t>Hml-Eteläinen-Hauho</t>
  </si>
  <si>
    <t>Hauho-Eteläinen-Hml</t>
  </si>
  <si>
    <t>Hauho-Alvettula-Tiiriö-Hml</t>
  </si>
  <si>
    <t>Hauho</t>
  </si>
  <si>
    <t>Hml-Hauhontaka-Parola-Hauho</t>
  </si>
  <si>
    <t>Hauho-Hauhontaka-Parola-Hml</t>
  </si>
  <si>
    <t>Hml-Hauho-Alvettula</t>
  </si>
  <si>
    <t>Hml-Eteläinen-Hauho-Lautsia</t>
  </si>
  <si>
    <t>Lautsia-Hauho-Eteläinen-Hml</t>
  </si>
  <si>
    <t>Sotjala-Hauho-Eteläinen-Hml-Tavastia</t>
  </si>
  <si>
    <t>Hml-Eteläinen-Kokkila-Porras-Hauho</t>
  </si>
  <si>
    <t>Eteläinen, koulu</t>
  </si>
  <si>
    <t>Alvettula, koulu</t>
  </si>
  <si>
    <t>Ilmoila</t>
  </si>
  <si>
    <t>Hauhontaka</t>
  </si>
  <si>
    <t>Hauho las</t>
  </si>
  <si>
    <t>auto 1 ip</t>
  </si>
  <si>
    <t>Sotjala</t>
  </si>
  <si>
    <t>Visamäki</t>
  </si>
  <si>
    <t>Lautsia</t>
  </si>
  <si>
    <t>Kokkila</t>
  </si>
  <si>
    <t>Porras</t>
  </si>
  <si>
    <t>Auto 2ap</t>
  </si>
  <si>
    <t>auto 2 ip</t>
  </si>
  <si>
    <t>Auto 3ap</t>
  </si>
  <si>
    <t>Eteläinen</t>
  </si>
  <si>
    <t>Linja 601 Hauho - Alvettula - Ilmoila - Hämeenlinna</t>
  </si>
  <si>
    <t>Linja 602 Hämeenlinna - Tiiriö - Alvettula - Hauho</t>
  </si>
  <si>
    <t>Linja 610 Hämeenlinna - Pälkäneentie - Parolan koulut - Hauhontaka - Hauho</t>
  </si>
  <si>
    <t>Linja 700 Hämeenlinna - Eteläinen - Hauho</t>
  </si>
  <si>
    <t>Linja 701 Hämeenlinna - Eteläinen - Hauho - Alvettula</t>
  </si>
  <si>
    <t>Linja 702 Hämeenlinna - Eteläinen - Hauho - Lautsia</t>
  </si>
  <si>
    <t>Linja 703 Sotjala (vt 12 / Sotjalantien risteys) - Hauho - Eteläinen - Hämeenlinna</t>
  </si>
  <si>
    <t>Linja 710 Hämeenlinna - Eteläinen - Kokkila - Porras - Hauho</t>
  </si>
  <si>
    <t>Hämeenlinnasta</t>
  </si>
  <si>
    <t xml:space="preserve"> Maanantai - Lauantai</t>
  </si>
  <si>
    <t>Vermasvuori</t>
  </si>
  <si>
    <t>Hauhon las</t>
  </si>
  <si>
    <t>Hauholta</t>
  </si>
  <si>
    <t>Sotjala (vt 12 risteys)</t>
  </si>
  <si>
    <t>Tavastian kampus (Hattelmalantie)</t>
  </si>
  <si>
    <t>Alvettulan koulu</t>
  </si>
  <si>
    <t>Pikkuharju</t>
  </si>
  <si>
    <t>Pikkuharju kt 57 P</t>
  </si>
  <si>
    <t>Hauhon yhtenäiskoulu</t>
  </si>
  <si>
    <t>___</t>
  </si>
  <si>
    <t>las</t>
  </si>
  <si>
    <t xml:space="preserve"> = linja-autoasema</t>
  </si>
  <si>
    <t>ras</t>
  </si>
  <si>
    <t xml:space="preserve"> = rautatieasema</t>
  </si>
  <si>
    <t>1)</t>
  </si>
  <si>
    <t>2)</t>
  </si>
  <si>
    <t>3)</t>
  </si>
  <si>
    <t>Lähtee Hauhon yhtenäiskoulun pihasta 13:20</t>
  </si>
  <si>
    <t>4)</t>
  </si>
  <si>
    <t>Paasikiventie-Kaivokatu-Turuntie-Hattelmalantie-Kankaantaustantie-Lapiontie-Visamäentie</t>
  </si>
  <si>
    <t>z</t>
  </si>
  <si>
    <t>Ilmoila, Pikkuharjuntie pys</t>
  </si>
  <si>
    <t>Ilmoila, Pikkuharjuntie</t>
  </si>
  <si>
    <t>Parola th</t>
  </si>
  <si>
    <t>Parola th, kt 130</t>
  </si>
  <si>
    <t>Verkatehdas</t>
  </si>
  <si>
    <t>Laitikkala</t>
  </si>
  <si>
    <t>huomiot</t>
  </si>
  <si>
    <t>Huomiot</t>
  </si>
  <si>
    <t>ma-pe+</t>
  </si>
  <si>
    <t>Hämeenlinnan las, laituri 4</t>
  </si>
  <si>
    <t>ajetaan maanantaista perjantaihin</t>
  </si>
  <si>
    <t>ajetaan maanantaista perjantaihin kouluvuoden aikana</t>
  </si>
  <si>
    <t>ajetaan lauantaisin</t>
  </si>
  <si>
    <t>h</t>
  </si>
  <si>
    <t>autopv</t>
  </si>
  <si>
    <t>yht.</t>
  </si>
  <si>
    <t>Hattulan km</t>
  </si>
  <si>
    <t>kohde 12</t>
  </si>
  <si>
    <t>vaihtoyhteys Vermasvuoressa Hämeenlinnaan ja Valkeakoskelta Hauholle</t>
  </si>
  <si>
    <t>751B</t>
  </si>
  <si>
    <t>Hauho-Vermasvuori</t>
  </si>
  <si>
    <t>Vermasvuori-Hauho</t>
  </si>
  <si>
    <t>751C</t>
  </si>
  <si>
    <t>Hauhon koulu-Alvettula-Ilmoila</t>
  </si>
  <si>
    <t>Ilmoila-Alvettula-Hauho- koulu</t>
  </si>
  <si>
    <t xml:space="preserve">Hauho koulu </t>
  </si>
  <si>
    <t>vaihtoyhteys Vermasvuoressa Hämeenlinnasta tulevalta vuorolta Ilmoilaan, Alvettulaan ja Hauholle.</t>
  </si>
  <si>
    <t>HUOM!</t>
  </si>
  <si>
    <t>Hauho koulu</t>
  </si>
  <si>
    <t>S1</t>
  </si>
  <si>
    <t>Hauho-Alvettula-Ilmoila</t>
  </si>
  <si>
    <t>Ilmoila-Alvettula Hauho</t>
  </si>
  <si>
    <t>Hauhon koulu- Hauhon linja-autoasema</t>
  </si>
  <si>
    <t>Hauhon koulu</t>
  </si>
  <si>
    <t>751D</t>
  </si>
  <si>
    <t>Vermasvuori-Ilmoila</t>
  </si>
  <si>
    <t>Linja 751 Hauho - Alvettula - Ilmoila</t>
  </si>
  <si>
    <t xml:space="preserve"> = auton vaihtomahdollisuus (kellon ajan alla viiva)</t>
  </si>
  <si>
    <t>Vaihtoyhteys koulp Vermasvuoressa linjalle 751</t>
  </si>
  <si>
    <t>Vaihtoyhteys linja 640 Hämeenlinnasta / Hämeenlinnaan</t>
  </si>
  <si>
    <t xml:space="preserve">Vaihto Vermasvuoressa linjalle 640 </t>
  </si>
  <si>
    <t>5)</t>
  </si>
  <si>
    <t>Hämeenlinnan linja-autoasema</t>
  </si>
  <si>
    <t>Hämeenlinnan rautatieasema</t>
  </si>
  <si>
    <t xml:space="preserve"> Lauantai</t>
  </si>
  <si>
    <t xml:space="preserve"> Maanantai - Perjantai</t>
  </si>
  <si>
    <t>Hämeenlinnan linja-autoasema, laituri 1</t>
  </si>
  <si>
    <t>Hauhon linja-autoasema</t>
  </si>
  <si>
    <t>ODOTTAA Vkosken linjan 68</t>
  </si>
  <si>
    <t xml:space="preserve"> = peruskoulun koulupäivinä </t>
  </si>
  <si>
    <t>Tavastia-Visamäki</t>
  </si>
  <si>
    <t>S2</t>
  </si>
  <si>
    <t>Visamäki-Las</t>
  </si>
  <si>
    <t>1) Tavastialle ja Visamäkeen ajetaan 3.8. alkaen</t>
  </si>
  <si>
    <t xml:space="preserve">I </t>
  </si>
  <si>
    <t xml:space="preserve">Jatkaa koulupäivinä Hämeenlinnan linja-autoasemalta Tavastian kampukselle, Hattelmalantielle ja Visamäkeen reittiä: </t>
  </si>
  <si>
    <t>701A</t>
  </si>
  <si>
    <t>701B</t>
  </si>
  <si>
    <t>Hauho-Alvettula</t>
  </si>
  <si>
    <t>6)</t>
  </si>
  <si>
    <t>21:05 (T)</t>
  </si>
  <si>
    <t>6) / (T)</t>
  </si>
  <si>
    <t xml:space="preserve"> ajetaan vain tarvittaessa klo 20:56 Hauholta Alvettulaan, ilmoita kuljettajalle tai yritykselle kulkutarve</t>
  </si>
  <si>
    <t>ajetaan Tavastialle ja Visamäkeen 3.8.2023 alk</t>
  </si>
  <si>
    <t>(T)</t>
  </si>
  <si>
    <t>703A</t>
  </si>
  <si>
    <t>Sotjala-Hauho-Eteläinen-Hml</t>
  </si>
  <si>
    <t>21:10 (T)</t>
  </si>
  <si>
    <t>Hämeenlinnan linja-autoasema, laituri 4</t>
  </si>
  <si>
    <t>Auto 4</t>
  </si>
  <si>
    <t>auto 3ip</t>
  </si>
  <si>
    <t>Auto 1 T</t>
  </si>
  <si>
    <t>ajetaan tarvittaessa, liikennöitsijä ilmoittaa ajetut</t>
  </si>
  <si>
    <t>(tarvittaessa)</t>
  </si>
  <si>
    <t>linja 700 klo 8:00 Hauho – Hämeenlinna</t>
  </si>
  <si>
    <t>linja 700 klo 13:10 Hauho – Hämeenlinna</t>
  </si>
  <si>
    <t>linja 700 klo 15:10 Hauho – Hämeenlinna uusi vuoro</t>
  </si>
  <si>
    <t>linja 700 klo 9:25 Hämeenlinna – Hauho kuten ennen</t>
  </si>
  <si>
    <t>linja 700 klo 12:05 Hämeenlinna – Hauho uusi vuoro</t>
  </si>
  <si>
    <t>linja 700 klo 16:20 Hämeenlinna – Hauho</t>
  </si>
  <si>
    <t>linja 602 klo 11:10 Hauho – Alvettula – Hämeenlinna</t>
  </si>
  <si>
    <t>linja 602 klo 14:20 Hämeenlinna – Alvettula – Hauho</t>
  </si>
  <si>
    <t>Hml-Tiiriö-Alvettula-Hauho</t>
  </si>
  <si>
    <t>ma-pe, la</t>
  </si>
  <si>
    <t>9h-1h07min</t>
  </si>
  <si>
    <t>TALVI KOULUPÄIVISIN</t>
  </si>
  <si>
    <t>Kohde 12</t>
  </si>
  <si>
    <t>TALVI KOULUJEN LOMAPÄIVINÄ</t>
  </si>
  <si>
    <t>TALVI LAUANTAI</t>
  </si>
  <si>
    <t>AIKATAULU TALVI</t>
  </si>
  <si>
    <t>ammattikoulujen alkaessa syksyllä</t>
  </si>
  <si>
    <t>Ajetaan tarvittaessa, liikennöitsijä ilmoittaa</t>
  </si>
  <si>
    <t>KESÄ MA-PE</t>
  </si>
  <si>
    <t>KESÄ LAUANTAI</t>
  </si>
  <si>
    <t>AIKATAULU KESÄ</t>
  </si>
  <si>
    <t>= ajetaan vain tarvittaessa klo 21:00 Hauholta Alvettulaan, ilmoita kuljettajalle tai yritykselle kulkutarve</t>
  </si>
  <si>
    <t>Linja 703 Sotjala - Hauho - Eteläinen - Hämeenlinna</t>
  </si>
  <si>
    <t>ma-pe kp</t>
  </si>
  <si>
    <t>ma-pe lp</t>
  </si>
  <si>
    <t>Vuosisuorite</t>
  </si>
  <si>
    <t>Päiväsuorite</t>
  </si>
  <si>
    <t>TALVI</t>
  </si>
  <si>
    <t>KESÄ</t>
  </si>
  <si>
    <t>vuosi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</si>
</sst>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0.0"/>
    <numFmt numFmtId="165" formatCode="[h]:mm"/>
    <numFmt numFmtId="166" formatCode="#,##0.0"/>
  </numFmts>
  <fonts count="38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rgb="FF000000"/>
      <name val="Arial"/>
      <family val="2"/>
    </font>
    <font>
      <sz val="9"/>
      <color rgb="FFFF0000"/>
      <name val="Calibri"/>
      <family val="2"/>
      <scheme val="minor"/>
    </font>
    <font>
      <sz val="9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sz val="9"/>
      <color theme="1"/>
      <name val="Verdana"/>
      <family val="2"/>
    </font>
    <font>
      <sz val="11"/>
      <color rgb="FF000000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sz val="11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10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i/>
      <sz val="12"/>
      <name val="Arial"/>
      <family val="2"/>
    </font>
    <font>
      <sz val="12"/>
      <color rgb="FFFF0000"/>
      <name val="Calibri"/>
      <family val="2"/>
      <scheme val="minor"/>
    </font>
    <font>
      <i/>
      <sz val="10"/>
      <name val="Arial"/>
      <family val="2"/>
    </font>
    <font>
      <b/>
      <sz val="11"/>
      <color theme="1"/>
      <name val="Calibri"/>
      <family val="2"/>
      <scheme val="minor"/>
    </font>
    <font>
      <sz val="9"/>
      <color rgb="FFFF0000"/>
      <name val="Arial"/>
      <family val="2"/>
    </font>
    <font>
      <sz val="9"/>
      <color indexed="8"/>
      <name val="Calibri"/>
      <family val="2"/>
    </font>
    <font>
      <sz val="9"/>
      <name val="Calibri"/>
      <family val="2"/>
    </font>
    <font>
      <i/>
      <sz val="10"/>
      <color rgb="FFFF0000"/>
      <name val="Arial"/>
      <family val="2"/>
    </font>
    <font>
      <u/>
      <sz val="12"/>
      <color theme="1"/>
      <name val="Arial"/>
      <family val="2"/>
    </font>
    <font>
      <b/>
      <sz val="9"/>
      <name val="Calibri"/>
      <family val="2"/>
      <scheme val="minor"/>
    </font>
    <font>
      <i/>
      <sz val="12"/>
      <color theme="1"/>
      <name val="Arial"/>
      <family val="2"/>
    </font>
    <font>
      <sz val="9"/>
      <color rgb="FFFF0000"/>
      <name val="Calibri"/>
      <family val="2"/>
    </font>
    <font>
      <b/>
      <sz val="9"/>
      <color rgb="FFFF0000"/>
      <name val="Calibri"/>
      <family val="2"/>
      <scheme val="minor"/>
    </font>
    <font>
      <sz val="12"/>
      <color rgb="FFFF0000"/>
      <name val="Arial"/>
      <family val="2"/>
    </font>
    <font>
      <sz val="11"/>
      <color rgb="FF000000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0904E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7" fillId="0" borderId="0"/>
    <xf numFmtId="0" fontId="8" fillId="0" borderId="0"/>
    <xf numFmtId="0" fontId="6" fillId="0" borderId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17" fillId="0" borderId="0"/>
  </cellStyleXfs>
  <cellXfs count="25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right"/>
    </xf>
    <xf numFmtId="0" fontId="1" fillId="0" borderId="0" xfId="0" applyFont="1"/>
    <xf numFmtId="0" fontId="0" fillId="0" borderId="0" xfId="0" applyAlignment="1">
      <alignment horizontal="center"/>
    </xf>
    <xf numFmtId="164" fontId="1" fillId="0" borderId="0" xfId="0" applyNumberFormat="1" applyFont="1" applyAlignment="1">
      <alignment horizontal="center"/>
    </xf>
    <xf numFmtId="20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20" fontId="1" fillId="0" borderId="0" xfId="0" applyNumberFormat="1" applyFont="1" applyAlignment="1">
      <alignment horizontal="right"/>
    </xf>
    <xf numFmtId="20" fontId="1" fillId="0" borderId="0" xfId="0" applyNumberFormat="1" applyFont="1"/>
    <xf numFmtId="20" fontId="1" fillId="0" borderId="0" xfId="0" applyNumberFormat="1" applyFont="1" applyAlignment="1"/>
    <xf numFmtId="0" fontId="1" fillId="0" borderId="0" xfId="0" applyFont="1" applyFill="1"/>
    <xf numFmtId="0" fontId="1" fillId="0" borderId="0" xfId="0" applyFon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20" fontId="1" fillId="0" borderId="0" xfId="0" applyNumberFormat="1" applyFont="1" applyFill="1" applyAlignment="1">
      <alignment horizontal="right"/>
    </xf>
    <xf numFmtId="20" fontId="1" fillId="0" borderId="0" xfId="0" applyNumberFormat="1" applyFont="1" applyFill="1" applyAlignment="1"/>
    <xf numFmtId="0" fontId="4" fillId="0" borderId="0" xfId="0" applyFont="1"/>
    <xf numFmtId="4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0" fillId="0" borderId="0" xfId="0" applyFill="1"/>
    <xf numFmtId="20" fontId="1" fillId="0" borderId="0" xfId="0" applyNumberFormat="1" applyFont="1" applyFill="1"/>
    <xf numFmtId="0" fontId="3" fillId="0" borderId="0" xfId="0" applyFont="1" applyFill="1"/>
    <xf numFmtId="0" fontId="5" fillId="0" borderId="0" xfId="0" applyFont="1"/>
    <xf numFmtId="20" fontId="9" fillId="0" borderId="0" xfId="0" applyNumberFormat="1" applyFont="1"/>
    <xf numFmtId="20" fontId="11" fillId="0" borderId="0" xfId="0" applyNumberFormat="1" applyFont="1" applyFill="1" applyAlignment="1">
      <alignment horizontal="center"/>
    </xf>
    <xf numFmtId="20" fontId="9" fillId="0" borderId="0" xfId="0" applyNumberFormat="1" applyFont="1" applyFill="1"/>
    <xf numFmtId="20" fontId="9" fillId="0" borderId="0" xfId="0" applyNumberFormat="1" applyFont="1" applyAlignment="1">
      <alignment wrapText="1"/>
    </xf>
    <xf numFmtId="0" fontId="12" fillId="0" borderId="0" xfId="0" applyFont="1" applyFill="1"/>
    <xf numFmtId="0" fontId="14" fillId="0" borderId="0" xfId="0" applyFont="1" applyBorder="1" applyAlignment="1">
      <alignment horizontal="right" vertical="center"/>
    </xf>
    <xf numFmtId="0" fontId="14" fillId="0" borderId="0" xfId="0" applyFont="1" applyBorder="1" applyAlignment="1">
      <alignment horizontal="center" vertical="center"/>
    </xf>
    <xf numFmtId="0" fontId="14" fillId="3" borderId="0" xfId="0" applyFont="1" applyFill="1" applyBorder="1" applyAlignment="1">
      <alignment horizontal="right" vertical="center"/>
    </xf>
    <xf numFmtId="0" fontId="14" fillId="3" borderId="0" xfId="0" applyFont="1" applyFill="1" applyBorder="1" applyAlignment="1">
      <alignment horizontal="center" vertical="center"/>
    </xf>
    <xf numFmtId="0" fontId="17" fillId="3" borderId="0" xfId="0" applyFont="1" applyFill="1" applyBorder="1" applyAlignment="1">
      <alignment horizontal="right" vertical="center" indent="2"/>
    </xf>
    <xf numFmtId="0" fontId="17" fillId="0" borderId="0" xfId="0" applyFont="1" applyBorder="1" applyAlignment="1">
      <alignment horizontal="right" vertical="center" indent="2"/>
    </xf>
    <xf numFmtId="0" fontId="14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right" vertical="center" indent="2"/>
    </xf>
    <xf numFmtId="164" fontId="1" fillId="0" borderId="0" xfId="0" applyNumberFormat="1" applyFont="1" applyAlignment="1">
      <alignment horizontal="left"/>
    </xf>
    <xf numFmtId="0" fontId="1" fillId="0" borderId="0" xfId="0" quotePrefix="1" applyFont="1" applyFill="1"/>
    <xf numFmtId="20" fontId="13" fillId="0" borderId="0" xfId="0" applyNumberFormat="1" applyFont="1"/>
    <xf numFmtId="0" fontId="13" fillId="0" borderId="0" xfId="0" applyFont="1"/>
    <xf numFmtId="0" fontId="13" fillId="0" borderId="0" xfId="0" applyFont="1" applyFill="1"/>
    <xf numFmtId="20" fontId="13" fillId="0" borderId="0" xfId="0" applyNumberFormat="1" applyFont="1" applyAlignment="1">
      <alignment horizontal="right"/>
    </xf>
    <xf numFmtId="20" fontId="13" fillId="0" borderId="0" xfId="0" applyNumberFormat="1" applyFont="1" applyFill="1" applyAlignment="1">
      <alignment horizontal="right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164" fontId="1" fillId="2" borderId="0" xfId="0" applyNumberFormat="1" applyFont="1" applyFill="1" applyAlignment="1">
      <alignment horizontal="center"/>
    </xf>
    <xf numFmtId="0" fontId="21" fillId="0" borderId="0" xfId="0" applyFont="1"/>
    <xf numFmtId="0" fontId="15" fillId="4" borderId="0" xfId="0" applyFont="1" applyFill="1" applyBorder="1" applyAlignment="1">
      <alignment vertical="center"/>
    </xf>
    <xf numFmtId="0" fontId="15" fillId="4" borderId="0" xfId="0" applyFont="1" applyFill="1" applyBorder="1" applyAlignment="1">
      <alignment horizontal="center" vertical="center"/>
    </xf>
    <xf numFmtId="0" fontId="21" fillId="4" borderId="0" xfId="0" applyFont="1" applyFill="1"/>
    <xf numFmtId="0" fontId="21" fillId="0" borderId="0" xfId="0" applyFont="1" applyFill="1"/>
    <xf numFmtId="0" fontId="22" fillId="0" borderId="0" xfId="0" applyFont="1" applyFill="1" applyBorder="1" applyAlignment="1">
      <alignment horizontal="center" vertical="center" wrapText="1"/>
    </xf>
    <xf numFmtId="20" fontId="23" fillId="0" borderId="0" xfId="0" applyNumberFormat="1" applyFont="1"/>
    <xf numFmtId="20" fontId="21" fillId="0" borderId="0" xfId="0" applyNumberFormat="1" applyFont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0" fillId="0" borderId="0" xfId="0" applyBorder="1"/>
    <xf numFmtId="20" fontId="10" fillId="0" borderId="0" xfId="0" applyNumberFormat="1" applyFont="1" applyAlignment="1">
      <alignment wrapText="1"/>
    </xf>
    <xf numFmtId="0" fontId="14" fillId="0" borderId="0" xfId="0" applyFont="1" applyBorder="1" applyAlignment="1">
      <alignment horizontal="left" vertical="center"/>
    </xf>
    <xf numFmtId="0" fontId="16" fillId="0" borderId="0" xfId="0" applyFont="1"/>
    <xf numFmtId="20" fontId="23" fillId="0" borderId="0" xfId="0" applyNumberFormat="1" applyFont="1" applyFill="1"/>
    <xf numFmtId="0" fontId="14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right" vertical="center" wrapText="1" indent="2"/>
    </xf>
    <xf numFmtId="0" fontId="16" fillId="3" borderId="0" xfId="0" applyFont="1" applyFill="1" applyBorder="1" applyAlignment="1">
      <alignment horizontal="right" vertical="center" wrapText="1" indent="2"/>
    </xf>
    <xf numFmtId="0" fontId="21" fillId="3" borderId="0" xfId="0" applyFont="1" applyFill="1"/>
    <xf numFmtId="20" fontId="21" fillId="3" borderId="0" xfId="0" applyNumberFormat="1" applyFont="1" applyFill="1"/>
    <xf numFmtId="0" fontId="15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horizontal="center" vertical="center"/>
    </xf>
    <xf numFmtId="0" fontId="24" fillId="0" borderId="0" xfId="0" applyFont="1" applyBorder="1" applyAlignment="1">
      <alignment horizontal="right" vertical="center"/>
    </xf>
    <xf numFmtId="0" fontId="24" fillId="0" borderId="0" xfId="0" applyFont="1" applyBorder="1" applyAlignment="1">
      <alignment horizontal="left" vertical="center"/>
    </xf>
    <xf numFmtId="0" fontId="24" fillId="0" borderId="0" xfId="0" quotePrefix="1" applyFont="1" applyBorder="1" applyAlignment="1">
      <alignment horizontal="left" vertical="center"/>
    </xf>
    <xf numFmtId="0" fontId="24" fillId="0" borderId="0" xfId="0" quotePrefix="1" applyFont="1" applyFill="1" applyBorder="1" applyAlignment="1">
      <alignment horizontal="left" vertical="center"/>
    </xf>
    <xf numFmtId="1" fontId="18" fillId="0" borderId="0" xfId="0" applyNumberFormat="1" applyFont="1" applyFill="1" applyBorder="1" applyAlignment="1">
      <alignment horizontal="center" vertical="center"/>
    </xf>
    <xf numFmtId="1" fontId="21" fillId="0" borderId="0" xfId="0" applyNumberFormat="1" applyFont="1"/>
    <xf numFmtId="1" fontId="9" fillId="0" borderId="0" xfId="0" applyNumberFormat="1" applyFont="1" applyAlignment="1">
      <alignment wrapText="1"/>
    </xf>
    <xf numFmtId="165" fontId="0" fillId="0" borderId="0" xfId="0" applyNumberFormat="1" applyFill="1"/>
    <xf numFmtId="20" fontId="17" fillId="0" borderId="0" xfId="0" applyNumberFormat="1" applyFont="1" applyFill="1" applyBorder="1" applyAlignment="1">
      <alignment horizontal="center" vertical="center"/>
    </xf>
    <xf numFmtId="0" fontId="1" fillId="0" borderId="1" xfId="0" applyFont="1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3" fillId="0" borderId="0" xfId="0" applyFont="1" applyFill="1" applyBorder="1"/>
    <xf numFmtId="0" fontId="4" fillId="0" borderId="0" xfId="0" applyFont="1" applyFill="1"/>
    <xf numFmtId="0" fontId="1" fillId="0" borderId="0" xfId="0" applyFont="1" applyBorder="1" applyAlignment="1">
      <alignment horizontal="right"/>
    </xf>
    <xf numFmtId="0" fontId="1" fillId="0" borderId="0" xfId="0" applyFont="1" applyAlignment="1">
      <alignment horizontal="left"/>
    </xf>
    <xf numFmtId="1" fontId="11" fillId="0" borderId="0" xfId="0" applyNumberFormat="1" applyFont="1" applyAlignment="1">
      <alignment wrapText="1"/>
    </xf>
    <xf numFmtId="164" fontId="27" fillId="0" borderId="0" xfId="0" applyNumberFormat="1" applyFont="1" applyFill="1" applyBorder="1" applyAlignment="1" applyProtection="1">
      <alignment horizontal="center"/>
    </xf>
    <xf numFmtId="0" fontId="27" fillId="0" borderId="0" xfId="0" applyNumberFormat="1" applyFont="1" applyFill="1" applyBorder="1" applyAlignment="1" applyProtection="1"/>
    <xf numFmtId="0" fontId="27" fillId="0" borderId="0" xfId="0" applyNumberFormat="1" applyFont="1" applyFill="1" applyBorder="1" applyAlignment="1" applyProtection="1">
      <alignment horizontal="center"/>
    </xf>
    <xf numFmtId="0" fontId="27" fillId="0" borderId="0" xfId="0" applyNumberFormat="1" applyFont="1" applyFill="1" applyBorder="1" applyAlignment="1" applyProtection="1">
      <alignment horizontal="right"/>
    </xf>
    <xf numFmtId="0" fontId="1" fillId="0" borderId="0" xfId="0" applyFont="1"/>
    <xf numFmtId="20" fontId="1" fillId="0" borderId="0" xfId="0" applyNumberFormat="1" applyFont="1" applyAlignment="1">
      <alignment horizontal="right"/>
    </xf>
    <xf numFmtId="0" fontId="14" fillId="3" borderId="0" xfId="0" applyFont="1" applyFill="1" applyBorder="1" applyAlignment="1">
      <alignment horizontal="center" vertical="center"/>
    </xf>
    <xf numFmtId="20" fontId="18" fillId="3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21" fillId="4" borderId="0" xfId="0" applyFont="1" applyFill="1"/>
    <xf numFmtId="20" fontId="18" fillId="3" borderId="0" xfId="0" quotePrefix="1" applyNumberFormat="1" applyFont="1" applyFill="1" applyBorder="1" applyAlignment="1">
      <alignment horizontal="left" vertical="center"/>
    </xf>
    <xf numFmtId="20" fontId="27" fillId="0" borderId="0" xfId="0" applyNumberFormat="1" applyFont="1" applyFill="1" applyBorder="1" applyAlignment="1" applyProtection="1">
      <alignment horizontal="right"/>
    </xf>
    <xf numFmtId="20" fontId="27" fillId="0" borderId="0" xfId="0" applyNumberFormat="1" applyFont="1" applyFill="1" applyBorder="1" applyAlignment="1" applyProtection="1"/>
    <xf numFmtId="0" fontId="24" fillId="3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2" fontId="1" fillId="0" borderId="0" xfId="0" applyNumberFormat="1" applyFont="1" applyAlignment="1">
      <alignment horizontal="center"/>
    </xf>
    <xf numFmtId="0" fontId="28" fillId="0" borderId="0" xfId="0" applyNumberFormat="1" applyFont="1" applyFill="1" applyBorder="1" applyAlignment="1" applyProtection="1"/>
    <xf numFmtId="0" fontId="15" fillId="0" borderId="0" xfId="0" applyFont="1" applyFill="1" applyBorder="1" applyAlignment="1">
      <alignment horizontal="right" vertical="center" indent="2"/>
    </xf>
    <xf numFmtId="20" fontId="21" fillId="0" borderId="0" xfId="0" applyNumberFormat="1" applyFont="1" applyFill="1"/>
    <xf numFmtId="1" fontId="9" fillId="3" borderId="0" xfId="0" applyNumberFormat="1" applyFont="1" applyFill="1" applyAlignment="1">
      <alignment wrapText="1"/>
    </xf>
    <xf numFmtId="0" fontId="29" fillId="0" borderId="0" xfId="0" applyFont="1" applyFill="1" applyBorder="1" applyAlignment="1">
      <alignment horizontal="center" vertical="center"/>
    </xf>
    <xf numFmtId="1" fontId="26" fillId="0" borderId="0" xfId="0" applyNumberFormat="1" applyFont="1" applyAlignment="1">
      <alignment wrapText="1"/>
    </xf>
    <xf numFmtId="20" fontId="15" fillId="0" borderId="0" xfId="0" applyNumberFormat="1" applyFont="1" applyFill="1" applyBorder="1" applyAlignment="1">
      <alignment horizontal="center" vertical="center"/>
    </xf>
    <xf numFmtId="20" fontId="17" fillId="3" borderId="0" xfId="0" applyNumberFormat="1" applyFont="1" applyFill="1" applyBorder="1" applyAlignment="1">
      <alignment horizontal="center" vertical="center"/>
    </xf>
    <xf numFmtId="20" fontId="15" fillId="3" borderId="0" xfId="0" applyNumberFormat="1" applyFont="1" applyFill="1" applyBorder="1" applyAlignment="1">
      <alignment horizontal="center" vertical="center"/>
    </xf>
    <xf numFmtId="20" fontId="30" fillId="3" borderId="0" xfId="0" applyNumberFormat="1" applyFont="1" applyFill="1" applyBorder="1" applyAlignment="1">
      <alignment horizontal="center" vertical="center"/>
    </xf>
    <xf numFmtId="20" fontId="30" fillId="0" borderId="0" xfId="0" applyNumberFormat="1" applyFont="1" applyFill="1" applyBorder="1" applyAlignment="1">
      <alignment horizontal="center" vertical="center"/>
    </xf>
    <xf numFmtId="20" fontId="17" fillId="0" borderId="0" xfId="0" quotePrefix="1" applyNumberFormat="1" applyFont="1" applyFill="1" applyBorder="1" applyAlignment="1">
      <alignment horizontal="left" vertical="center"/>
    </xf>
    <xf numFmtId="0" fontId="31" fillId="0" borderId="0" xfId="0" applyFont="1" applyFill="1"/>
    <xf numFmtId="20" fontId="13" fillId="0" borderId="0" xfId="0" applyNumberFormat="1" applyFont="1" applyFill="1"/>
    <xf numFmtId="0" fontId="31" fillId="0" borderId="0" xfId="0" applyFont="1"/>
    <xf numFmtId="0" fontId="15" fillId="0" borderId="0" xfId="0" applyFont="1" applyBorder="1" applyAlignment="1">
      <alignment vertical="center"/>
    </xf>
    <xf numFmtId="0" fontId="17" fillId="0" borderId="0" xfId="0" applyFont="1" applyFill="1" applyBorder="1" applyAlignment="1">
      <alignment horizontal="left" vertical="center"/>
    </xf>
    <xf numFmtId="0" fontId="32" fillId="3" borderId="0" xfId="0" applyFont="1" applyFill="1" applyBorder="1" applyAlignment="1">
      <alignment horizontal="right" vertical="center"/>
    </xf>
    <xf numFmtId="0" fontId="22" fillId="3" borderId="0" xfId="0" applyFont="1" applyFill="1" applyBorder="1" applyAlignment="1">
      <alignment horizontal="center" vertical="center" wrapText="1"/>
    </xf>
    <xf numFmtId="20" fontId="16" fillId="0" borderId="0" xfId="0" applyNumberFormat="1" applyFont="1" applyFill="1" applyBorder="1" applyAlignment="1">
      <alignment horizontal="center"/>
    </xf>
    <xf numFmtId="20" fontId="15" fillId="0" borderId="0" xfId="0" applyNumberFormat="1" applyFont="1" applyFill="1" applyBorder="1" applyAlignment="1">
      <alignment horizontal="center"/>
    </xf>
    <xf numFmtId="20" fontId="18" fillId="0" borderId="0" xfId="0" applyNumberFormat="1" applyFont="1" applyFill="1" applyBorder="1" applyAlignment="1">
      <alignment horizontal="center" vertical="center"/>
    </xf>
    <xf numFmtId="20" fontId="22" fillId="0" borderId="0" xfId="0" applyNumberFormat="1" applyFont="1" applyFill="1" applyBorder="1" applyAlignment="1">
      <alignment horizontal="left" vertical="center"/>
    </xf>
    <xf numFmtId="0" fontId="32" fillId="3" borderId="0" xfId="0" applyFont="1" applyFill="1" applyBorder="1" applyAlignment="1">
      <alignment horizontal="center" vertical="center" wrapText="1"/>
    </xf>
    <xf numFmtId="20" fontId="18" fillId="0" borderId="0" xfId="0" applyNumberFormat="1" applyFont="1" applyFill="1" applyBorder="1" applyAlignment="1">
      <alignment horizontal="center"/>
    </xf>
    <xf numFmtId="0" fontId="17" fillId="0" borderId="0" xfId="6" applyFont="1" applyAlignment="1">
      <alignment horizontal="center" vertical="center"/>
    </xf>
    <xf numFmtId="0" fontId="17" fillId="0" borderId="0" xfId="0" applyFont="1"/>
    <xf numFmtId="0" fontId="17" fillId="0" borderId="0" xfId="0" applyFont="1" applyAlignment="1">
      <alignment horizontal="right"/>
    </xf>
    <xf numFmtId="0" fontId="17" fillId="0" borderId="0" xfId="0" applyFont="1" applyAlignment="1"/>
    <xf numFmtId="0" fontId="17" fillId="0" borderId="0" xfId="0" applyFont="1" applyFill="1" applyBorder="1" applyAlignment="1">
      <alignment vertical="center"/>
    </xf>
    <xf numFmtId="0" fontId="3" fillId="0" borderId="0" xfId="0" applyFont="1" applyFill="1" applyAlignment="1">
      <alignment horizontal="left"/>
    </xf>
    <xf numFmtId="20" fontId="3" fillId="0" borderId="0" xfId="0" applyNumberFormat="1" applyFont="1" applyFill="1"/>
    <xf numFmtId="0" fontId="1" fillId="0" borderId="0" xfId="0" applyFont="1" applyFill="1" applyAlignment="1">
      <alignment horizontal="right"/>
    </xf>
    <xf numFmtId="20" fontId="3" fillId="0" borderId="0" xfId="0" applyNumberFormat="1" applyFont="1" applyFill="1" applyAlignment="1">
      <alignment horizontal="right"/>
    </xf>
    <xf numFmtId="0" fontId="3" fillId="0" borderId="0" xfId="0" applyFont="1" applyAlignment="1">
      <alignment horizontal="left"/>
    </xf>
    <xf numFmtId="164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/>
    <xf numFmtId="20" fontId="1" fillId="0" borderId="0" xfId="0" applyNumberFormat="1" applyFont="1" applyFill="1" applyBorder="1" applyAlignment="1">
      <alignment horizontal="right"/>
    </xf>
    <xf numFmtId="0" fontId="1" fillId="0" borderId="5" xfId="0" applyFont="1" applyFill="1" applyBorder="1" applyAlignment="1">
      <alignment horizontal="right"/>
    </xf>
    <xf numFmtId="20" fontId="33" fillId="0" borderId="0" xfId="0" applyNumberFormat="1" applyFont="1" applyFill="1" applyBorder="1" applyAlignment="1" applyProtection="1">
      <alignment horizontal="right"/>
    </xf>
    <xf numFmtId="0" fontId="34" fillId="0" borderId="0" xfId="0" applyFont="1" applyAlignment="1">
      <alignment horizontal="center"/>
    </xf>
    <xf numFmtId="20" fontId="16" fillId="3" borderId="0" xfId="0" applyNumberFormat="1" applyFont="1" applyFill="1" applyBorder="1" applyAlignment="1">
      <alignment horizontal="center" vertical="center"/>
    </xf>
    <xf numFmtId="20" fontId="18" fillId="3" borderId="0" xfId="0" applyNumberFormat="1" applyFont="1" applyFill="1" applyBorder="1" applyAlignment="1">
      <alignment horizontal="center"/>
    </xf>
    <xf numFmtId="0" fontId="32" fillId="0" borderId="0" xfId="0" applyFont="1" applyFill="1" applyBorder="1" applyAlignment="1">
      <alignment horizontal="center" vertical="center" wrapText="1"/>
    </xf>
    <xf numFmtId="0" fontId="1" fillId="5" borderId="0" xfId="0" applyFont="1" applyFill="1"/>
    <xf numFmtId="0" fontId="1" fillId="5" borderId="0" xfId="0" applyFont="1" applyFill="1" applyAlignment="1">
      <alignment horizontal="center"/>
    </xf>
    <xf numFmtId="164" fontId="1" fillId="5" borderId="0" xfId="0" applyNumberFormat="1" applyFont="1" applyFill="1" applyAlignment="1">
      <alignment horizontal="center"/>
    </xf>
    <xf numFmtId="20" fontId="1" fillId="5" borderId="0" xfId="0" applyNumberFormat="1" applyFont="1" applyFill="1"/>
    <xf numFmtId="0" fontId="4" fillId="5" borderId="0" xfId="0" applyFont="1" applyFill="1"/>
    <xf numFmtId="20" fontId="35" fillId="0" borderId="0" xfId="0" applyNumberFormat="1" applyFont="1" applyFill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20" fontId="35" fillId="3" borderId="0" xfId="0" applyNumberFormat="1" applyFont="1" applyFill="1" applyBorder="1" applyAlignment="1">
      <alignment horizontal="center" vertical="center"/>
    </xf>
    <xf numFmtId="20" fontId="1" fillId="2" borderId="0" xfId="0" applyNumberFormat="1" applyFont="1" applyFill="1"/>
    <xf numFmtId="0" fontId="4" fillId="2" borderId="0" xfId="0" applyFont="1" applyFill="1"/>
    <xf numFmtId="20" fontId="16" fillId="3" borderId="0" xfId="0" applyNumberFormat="1" applyFont="1" applyFill="1" applyBorder="1" applyAlignment="1">
      <alignment horizontal="center"/>
    </xf>
    <xf numFmtId="0" fontId="1" fillId="5" borderId="0" xfId="0" applyFont="1" applyFill="1" applyAlignment="1">
      <alignment horizontal="right"/>
    </xf>
    <xf numFmtId="20" fontId="1" fillId="0" borderId="0" xfId="0" applyNumberFormat="1" applyFont="1" applyFill="1" applyAlignment="1">
      <alignment horizontal="center"/>
    </xf>
    <xf numFmtId="165" fontId="1" fillId="0" borderId="0" xfId="0" applyNumberFormat="1" applyFont="1" applyFill="1" applyAlignment="1">
      <alignment horizontal="center"/>
    </xf>
    <xf numFmtId="164" fontId="3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0" fillId="0" borderId="7" xfId="0" applyBorder="1"/>
    <xf numFmtId="0" fontId="0" fillId="0" borderId="8" xfId="0" applyBorder="1"/>
    <xf numFmtId="0" fontId="3" fillId="0" borderId="0" xfId="0" applyFont="1" applyFill="1" applyAlignment="1">
      <alignment horizontal="left" wrapText="1"/>
    </xf>
    <xf numFmtId="0" fontId="1" fillId="0" borderId="0" xfId="0" applyFont="1" applyBorder="1" applyAlignment="1">
      <alignment horizontal="left"/>
    </xf>
    <xf numFmtId="164" fontId="27" fillId="2" borderId="0" xfId="0" applyNumberFormat="1" applyFont="1" applyFill="1" applyBorder="1" applyAlignment="1" applyProtection="1">
      <alignment horizontal="center"/>
    </xf>
    <xf numFmtId="20" fontId="1" fillId="2" borderId="0" xfId="0" applyNumberFormat="1" applyFont="1" applyFill="1" applyAlignment="1"/>
    <xf numFmtId="164" fontId="1" fillId="2" borderId="9" xfId="0" applyNumberFormat="1" applyFont="1" applyFill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1" fillId="2" borderId="0" xfId="0" applyFont="1" applyFill="1" applyAlignment="1">
      <alignment horizontal="right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20" fontId="1" fillId="2" borderId="0" xfId="0" applyNumberFormat="1" applyFont="1" applyFill="1" applyAlignment="1">
      <alignment horizontal="center"/>
    </xf>
    <xf numFmtId="20" fontId="4" fillId="0" borderId="0" xfId="0" applyNumberFormat="1" applyFont="1" applyFill="1" applyAlignment="1">
      <alignment horizontal="right"/>
    </xf>
    <xf numFmtId="20" fontId="4" fillId="0" borderId="0" xfId="0" applyNumberFormat="1" applyFont="1" applyAlignment="1">
      <alignment horizontal="right"/>
    </xf>
    <xf numFmtId="20" fontId="4" fillId="0" borderId="0" xfId="0" applyNumberFormat="1" applyFont="1"/>
    <xf numFmtId="20" fontId="4" fillId="2" borderId="0" xfId="0" applyNumberFormat="1" applyFont="1" applyFill="1" applyAlignment="1">
      <alignment horizontal="right"/>
    </xf>
    <xf numFmtId="20" fontId="4" fillId="0" borderId="0" xfId="0" applyNumberFormat="1" applyFont="1" applyFill="1" applyBorder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20" fontId="4" fillId="0" borderId="0" xfId="0" applyNumberFormat="1" applyFont="1" applyFill="1"/>
    <xf numFmtId="20" fontId="28" fillId="0" borderId="0" xfId="0" applyNumberFormat="1" applyFont="1" applyFill="1" applyBorder="1" applyAlignment="1" applyProtection="1">
      <alignment horizontal="right"/>
    </xf>
    <xf numFmtId="0" fontId="36" fillId="0" borderId="0" xfId="0" applyFont="1" applyAlignment="1">
      <alignment horizontal="right" vertical="center"/>
    </xf>
    <xf numFmtId="17" fontId="4" fillId="0" borderId="0" xfId="0" quotePrefix="1" applyNumberFormat="1" applyFont="1" applyAlignment="1">
      <alignment horizontal="left"/>
    </xf>
    <xf numFmtId="0" fontId="34" fillId="2" borderId="0" xfId="0" applyFont="1" applyFill="1" applyAlignment="1">
      <alignment horizontal="left"/>
    </xf>
    <xf numFmtId="0" fontId="1" fillId="2" borderId="0" xfId="0" applyFont="1" applyFill="1" applyAlignment="1">
      <alignment horizontal="left"/>
    </xf>
    <xf numFmtId="20" fontId="1" fillId="2" borderId="0" xfId="0" applyNumberFormat="1" applyFont="1" applyFill="1" applyAlignment="1">
      <alignment horizontal="right"/>
    </xf>
    <xf numFmtId="0" fontId="3" fillId="2" borderId="0" xfId="0" applyFont="1" applyFill="1"/>
    <xf numFmtId="20" fontId="4" fillId="5" borderId="0" xfId="0" applyNumberFormat="1" applyFont="1" applyFill="1" applyAlignment="1">
      <alignment horizontal="right"/>
    </xf>
    <xf numFmtId="164" fontId="0" fillId="0" borderId="0" xfId="0" applyNumberFormat="1" applyFont="1" applyAlignment="1">
      <alignment horizontal="center"/>
    </xf>
    <xf numFmtId="0" fontId="36" fillId="0" borderId="0" xfId="0" applyFont="1" applyAlignment="1">
      <alignment horizontal="left" vertical="center"/>
    </xf>
    <xf numFmtId="20" fontId="17" fillId="0" borderId="0" xfId="0" applyNumberFormat="1" applyFont="1" applyAlignment="1">
      <alignment horizontal="center"/>
    </xf>
    <xf numFmtId="0" fontId="17" fillId="4" borderId="0" xfId="0" applyFont="1" applyFill="1"/>
    <xf numFmtId="20" fontId="17" fillId="3" borderId="0" xfId="0" applyNumberFormat="1" applyFont="1" applyFill="1" applyAlignment="1">
      <alignment horizontal="center"/>
    </xf>
    <xf numFmtId="0" fontId="17" fillId="3" borderId="0" xfId="0" applyFont="1" applyFill="1"/>
    <xf numFmtId="20" fontId="15" fillId="3" borderId="0" xfId="0" applyNumberFormat="1" applyFont="1" applyFill="1" applyBorder="1" applyAlignment="1">
      <alignment horizontal="center"/>
    </xf>
    <xf numFmtId="0" fontId="32" fillId="0" borderId="0" xfId="0" applyFont="1" applyBorder="1" applyAlignment="1">
      <alignment horizontal="right" vertical="top"/>
    </xf>
    <xf numFmtId="0" fontId="17" fillId="0" borderId="0" xfId="0" applyFont="1" applyFill="1"/>
    <xf numFmtId="0" fontId="16" fillId="0" borderId="0" xfId="0" applyFont="1" applyBorder="1" applyAlignment="1">
      <alignment vertical="center" wrapText="1"/>
    </xf>
    <xf numFmtId="0" fontId="15" fillId="3" borderId="0" xfId="0" applyFont="1" applyFill="1" applyBorder="1" applyAlignment="1">
      <alignment vertical="center" wrapText="1"/>
    </xf>
    <xf numFmtId="0" fontId="17" fillId="3" borderId="0" xfId="0" applyFont="1" applyFill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32" fillId="3" borderId="0" xfId="0" applyFont="1" applyFill="1" applyBorder="1" applyAlignment="1">
      <alignment vertical="center"/>
    </xf>
    <xf numFmtId="0" fontId="32" fillId="0" borderId="0" xfId="0" applyFont="1" applyFill="1" applyBorder="1" applyAlignment="1">
      <alignment vertical="center"/>
    </xf>
    <xf numFmtId="0" fontId="18" fillId="3" borderId="0" xfId="0" applyFont="1" applyFill="1" applyBorder="1" applyAlignment="1"/>
    <xf numFmtId="0" fontId="15" fillId="3" borderId="0" xfId="0" applyFont="1" applyFill="1" applyBorder="1" applyAlignment="1">
      <alignment vertical="center"/>
    </xf>
    <xf numFmtId="20" fontId="15" fillId="0" borderId="0" xfId="0" applyNumberFormat="1" applyFont="1" applyAlignment="1">
      <alignment horizontal="center"/>
    </xf>
    <xf numFmtId="0" fontId="16" fillId="6" borderId="0" xfId="0" applyFont="1" applyFill="1" applyBorder="1" applyAlignment="1">
      <alignment vertical="center"/>
    </xf>
    <xf numFmtId="0" fontId="17" fillId="6" borderId="0" xfId="0" applyFont="1" applyFill="1"/>
    <xf numFmtId="0" fontId="18" fillId="0" borderId="0" xfId="0" applyFont="1"/>
    <xf numFmtId="0" fontId="22" fillId="0" borderId="0" xfId="0" applyFont="1"/>
    <xf numFmtId="0" fontId="6" fillId="0" borderId="0" xfId="0" applyFont="1" applyFill="1"/>
    <xf numFmtId="0" fontId="37" fillId="0" borderId="0" xfId="0" applyFont="1"/>
    <xf numFmtId="0" fontId="37" fillId="0" borderId="0" xfId="0" applyFont="1" applyFill="1"/>
    <xf numFmtId="0" fontId="6" fillId="0" borderId="0" xfId="0" applyFont="1"/>
    <xf numFmtId="0" fontId="0" fillId="0" borderId="2" xfId="0" applyBorder="1"/>
    <xf numFmtId="0" fontId="0" fillId="0" borderId="10" xfId="0" applyBorder="1"/>
    <xf numFmtId="0" fontId="0" fillId="0" borderId="1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0" xfId="0" applyFill="1" applyBorder="1"/>
    <xf numFmtId="0" fontId="25" fillId="0" borderId="0" xfId="0" applyFont="1" applyFill="1"/>
    <xf numFmtId="165" fontId="25" fillId="0" borderId="0" xfId="0" applyNumberFormat="1" applyFont="1" applyFill="1"/>
    <xf numFmtId="0" fontId="25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16" xfId="0" applyFill="1" applyBorder="1"/>
    <xf numFmtId="165" fontId="0" fillId="0" borderId="16" xfId="0" applyNumberFormat="1" applyFill="1" applyBorder="1"/>
    <xf numFmtId="166" fontId="0" fillId="0" borderId="16" xfId="0" applyNumberFormat="1" applyFill="1" applyBorder="1"/>
    <xf numFmtId="0" fontId="0" fillId="0" borderId="17" xfId="0" applyFill="1" applyBorder="1"/>
    <xf numFmtId="0" fontId="0" fillId="0" borderId="18" xfId="0" applyFill="1" applyBorder="1"/>
    <xf numFmtId="165" fontId="0" fillId="0" borderId="18" xfId="0" applyNumberFormat="1" applyFill="1" applyBorder="1"/>
    <xf numFmtId="0" fontId="25" fillId="0" borderId="18" xfId="0" applyFont="1" applyFill="1" applyBorder="1"/>
    <xf numFmtId="165" fontId="25" fillId="0" borderId="18" xfId="0" applyNumberFormat="1" applyFont="1" applyFill="1" applyBorder="1"/>
    <xf numFmtId="0" fontId="25" fillId="0" borderId="19" xfId="0" applyFont="1" applyFill="1" applyBorder="1"/>
    <xf numFmtId="0" fontId="0" fillId="0" borderId="20" xfId="0" applyFill="1" applyBorder="1" applyAlignment="1">
      <alignment horizontal="right"/>
    </xf>
    <xf numFmtId="0" fontId="0" fillId="0" borderId="21" xfId="0" applyFill="1" applyBorder="1"/>
    <xf numFmtId="0" fontId="0" fillId="0" borderId="22" xfId="0" applyFill="1" applyBorder="1" applyAlignment="1">
      <alignment horizontal="right"/>
    </xf>
    <xf numFmtId="0" fontId="0" fillId="0" borderId="23" xfId="0" applyFill="1" applyBorder="1"/>
    <xf numFmtId="166" fontId="0" fillId="0" borderId="23" xfId="0" applyNumberFormat="1" applyFill="1" applyBorder="1"/>
    <xf numFmtId="165" fontId="0" fillId="0" borderId="23" xfId="0" applyNumberFormat="1" applyFill="1" applyBorder="1"/>
    <xf numFmtId="0" fontId="0" fillId="0" borderId="24" xfId="0" applyFill="1" applyBorder="1"/>
    <xf numFmtId="2" fontId="0" fillId="0" borderId="16" xfId="0" applyNumberFormat="1" applyFill="1" applyBorder="1"/>
    <xf numFmtId="0" fontId="25" fillId="0" borderId="0" xfId="0" applyFont="1" applyFill="1" applyAlignment="1">
      <alignment horizontal="left"/>
    </xf>
    <xf numFmtId="0" fontId="32" fillId="0" borderId="0" xfId="0" quotePrefix="1" applyFont="1" applyBorder="1" applyAlignment="1">
      <alignment horizontal="left" vertical="top" wrapText="1"/>
    </xf>
  </cellXfs>
  <cellStyles count="7">
    <cellStyle name="Normaali" xfId="0" builtinId="0"/>
    <cellStyle name="Normaali 2" xfId="3" xr:uid="{00000000-0005-0000-0000-000001000000}"/>
    <cellStyle name="Normaali 2 2" xfId="6" xr:uid="{00000000-0005-0000-0000-000002000000}"/>
    <cellStyle name="Normaali 3" xfId="1" xr:uid="{00000000-0005-0000-0000-000003000000}"/>
    <cellStyle name="Normal" xfId="2" xr:uid="{00000000-0005-0000-0000-000004000000}"/>
    <cellStyle name="Valuutta 2" xfId="4" xr:uid="{00000000-0005-0000-0000-000007000000}"/>
    <cellStyle name="Valuutta 2 2" xfId="5" xr:uid="{00000000-0005-0000-0000-000008000000}"/>
  </cellStyles>
  <dxfs count="0"/>
  <tableStyles count="0" defaultTableStyle="TableStyleMedium2" defaultPivotStyle="PivotStyleLight16"/>
  <colors>
    <mruColors>
      <color rgb="FFF0904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37</xdr:row>
      <xdr:rowOff>57150</xdr:rowOff>
    </xdr:from>
    <xdr:to>
      <xdr:col>1</xdr:col>
      <xdr:colOff>9525</xdr:colOff>
      <xdr:row>56</xdr:row>
      <xdr:rowOff>114300</xdr:rowOff>
    </xdr:to>
    <xdr:cxnSp macro="">
      <xdr:nvCxnSpPr>
        <xdr:cNvPr id="2" name="Suora nuoliyhdysviiva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CxnSpPr/>
      </xdr:nvCxnSpPr>
      <xdr:spPr>
        <a:xfrm flipH="1">
          <a:off x="2623457" y="7230836"/>
          <a:ext cx="9525" cy="2724150"/>
        </a:xfrm>
        <a:prstGeom prst="straightConnector1">
          <a:avLst/>
        </a:prstGeom>
        <a:ln w="28575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16</xdr:row>
      <xdr:rowOff>95250</xdr:rowOff>
    </xdr:from>
    <xdr:to>
      <xdr:col>1</xdr:col>
      <xdr:colOff>0</xdr:colOff>
      <xdr:row>35</xdr:row>
      <xdr:rowOff>9525</xdr:rowOff>
    </xdr:to>
    <xdr:cxnSp macro="">
      <xdr:nvCxnSpPr>
        <xdr:cNvPr id="3" name="Suora nuoliyhdysviiva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CxnSpPr/>
      </xdr:nvCxnSpPr>
      <xdr:spPr>
        <a:xfrm>
          <a:off x="2623457" y="3839936"/>
          <a:ext cx="0" cy="2771775"/>
        </a:xfrm>
        <a:prstGeom prst="straightConnector1">
          <a:avLst/>
        </a:prstGeom>
        <a:ln w="28575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24</xdr:row>
      <xdr:rowOff>0</xdr:rowOff>
    </xdr:from>
    <xdr:to>
      <xdr:col>1</xdr:col>
      <xdr:colOff>1</xdr:colOff>
      <xdr:row>35</xdr:row>
      <xdr:rowOff>314325</xdr:rowOff>
    </xdr:to>
    <xdr:cxnSp macro="">
      <xdr:nvCxnSpPr>
        <xdr:cNvPr id="2" name="Suora nuoliyhdysviiva 1">
          <a:extLst>
            <a:ext uri="{FF2B5EF4-FFF2-40B4-BE49-F238E27FC236}">
              <a16:creationId xmlns:a16="http://schemas.microsoft.com/office/drawing/2014/main" id="{C98D2A4E-9AEE-48CC-8082-6E85C632CBC5}"/>
            </a:ext>
          </a:extLst>
        </xdr:cNvPr>
        <xdr:cNvCxnSpPr/>
      </xdr:nvCxnSpPr>
      <xdr:spPr>
        <a:xfrm flipH="1">
          <a:off x="609600" y="5143500"/>
          <a:ext cx="1" cy="228600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21</xdr:row>
      <xdr:rowOff>9525</xdr:rowOff>
    </xdr:to>
    <xdr:cxnSp macro="">
      <xdr:nvCxnSpPr>
        <xdr:cNvPr id="3" name="Suora nuoliyhdysviiva 2">
          <a:extLst>
            <a:ext uri="{FF2B5EF4-FFF2-40B4-BE49-F238E27FC236}">
              <a16:creationId xmlns:a16="http://schemas.microsoft.com/office/drawing/2014/main" id="{34E66CDF-3226-4966-A59A-924AD78834BF}"/>
            </a:ext>
          </a:extLst>
        </xdr:cNvPr>
        <xdr:cNvCxnSpPr/>
      </xdr:nvCxnSpPr>
      <xdr:spPr>
        <a:xfrm>
          <a:off x="609600" y="1524000"/>
          <a:ext cx="0" cy="1914525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0.79998168889431442"/>
  </sheetPr>
  <dimension ref="A1:W70"/>
  <sheetViews>
    <sheetView tabSelected="1" workbookViewId="0">
      <pane ySplit="11" topLeftCell="A30" activePane="bottomLeft" state="frozen"/>
      <selection pane="bottomLeft"/>
    </sheetView>
  </sheetViews>
  <sheetFormatPr defaultColWidth="9.140625" defaultRowHeight="12" customHeight="1" x14ac:dyDescent="0.25"/>
  <cols>
    <col min="1" max="1" width="9.140625" style="4"/>
    <col min="2" max="2" width="6.42578125" style="1" customWidth="1"/>
    <col min="3" max="4" width="9.140625" style="1"/>
    <col min="5" max="5" width="10.140625" style="6" customWidth="1"/>
    <col min="6" max="6" width="9.140625" style="1" customWidth="1"/>
    <col min="7" max="7" width="9.140625" style="1"/>
    <col min="8" max="8" width="13.85546875" style="1" customWidth="1"/>
    <col min="9" max="9" width="8.42578125" style="10" customWidth="1"/>
    <col min="10" max="10" width="15.85546875" style="4" customWidth="1"/>
    <col min="11" max="11" width="9.140625" style="4" customWidth="1"/>
    <col min="12" max="12" width="14.85546875" style="4" customWidth="1"/>
    <col min="13" max="13" width="7.140625" style="4" customWidth="1"/>
    <col min="14" max="14" width="13.85546875" style="4" customWidth="1"/>
    <col min="15" max="15" width="7.85546875" style="4" customWidth="1"/>
    <col min="16" max="16" width="14.85546875" style="4" customWidth="1"/>
    <col min="17" max="17" width="6.85546875" style="4" customWidth="1"/>
    <col min="18" max="18" width="10.140625" style="4" customWidth="1"/>
    <col min="19" max="19" width="8" style="4" customWidth="1"/>
    <col min="20" max="20" width="17.140625" style="4" customWidth="1"/>
    <col min="21" max="21" width="22.28515625" customWidth="1"/>
    <col min="22" max="28" width="9.140625" style="4"/>
    <col min="29" max="29" width="16" style="4" customWidth="1"/>
    <col min="30" max="30" width="9.140625" style="4"/>
    <col min="31" max="31" width="9.42578125" style="4" bestFit="1" customWidth="1"/>
    <col min="32" max="16384" width="9.140625" style="4"/>
  </cols>
  <sheetData>
    <row r="1" spans="1:21" customFormat="1" ht="14.45" customHeight="1" x14ac:dyDescent="0.25">
      <c r="A1" t="s">
        <v>186</v>
      </c>
      <c r="B1" s="1"/>
      <c r="C1" s="1"/>
      <c r="D1" s="3"/>
      <c r="F1" s="26"/>
      <c r="G1" s="1"/>
      <c r="H1" s="26"/>
    </row>
    <row r="2" spans="1:21" s="176" customFormat="1" ht="14.45" customHeight="1" x14ac:dyDescent="0.25">
      <c r="A2" s="176" t="s">
        <v>185</v>
      </c>
      <c r="B2" s="177"/>
      <c r="D2" s="178"/>
      <c r="G2" s="177"/>
      <c r="M2" s="179"/>
    </row>
    <row r="3" spans="1:21" s="14" customFormat="1" ht="12" customHeight="1" x14ac:dyDescent="0.2">
      <c r="A3" s="14" t="s">
        <v>0</v>
      </c>
      <c r="B3" s="15"/>
      <c r="C3" s="15" t="s">
        <v>22</v>
      </c>
      <c r="D3" s="15" t="s">
        <v>59</v>
      </c>
      <c r="E3" s="15" t="s">
        <v>65</v>
      </c>
      <c r="F3" s="15" t="s">
        <v>66</v>
      </c>
      <c r="G3" s="15" t="s">
        <v>67</v>
      </c>
      <c r="H3" s="15" t="s">
        <v>170</v>
      </c>
      <c r="I3" s="15" t="s">
        <v>169</v>
      </c>
      <c r="K3" s="15" t="s">
        <v>26</v>
      </c>
      <c r="L3" s="15"/>
      <c r="M3" s="48" t="s">
        <v>171</v>
      </c>
      <c r="N3" s="166" t="s">
        <v>173</v>
      </c>
      <c r="O3" s="15"/>
      <c r="P3" s="137"/>
      <c r="Q3" s="15"/>
      <c r="R3" s="15"/>
      <c r="S3" s="15"/>
    </row>
    <row r="4" spans="1:21" s="14" customFormat="1" ht="12" customHeight="1" x14ac:dyDescent="0.2">
      <c r="B4" s="15"/>
      <c r="C4" s="15"/>
      <c r="D4" s="15"/>
      <c r="E4" s="16"/>
      <c r="F4" s="15"/>
      <c r="G4" s="15"/>
      <c r="H4" s="15"/>
      <c r="I4" s="15"/>
      <c r="K4" s="15"/>
      <c r="L4" s="15"/>
      <c r="M4" s="48"/>
      <c r="N4" s="15"/>
      <c r="O4" s="15"/>
      <c r="P4" s="15"/>
      <c r="Q4" s="15"/>
      <c r="R4" s="15"/>
      <c r="S4" s="15"/>
    </row>
    <row r="5" spans="1:21" s="14" customFormat="1" ht="12" customHeight="1" x14ac:dyDescent="0.2">
      <c r="A5" s="14" t="s">
        <v>1</v>
      </c>
      <c r="B5" s="15"/>
      <c r="C5" s="163">
        <f>G13</f>
        <v>0.25</v>
      </c>
      <c r="D5" s="163">
        <f>G17</f>
        <v>0.4236111111111111</v>
      </c>
      <c r="E5" s="163">
        <f>G31</f>
        <v>0.28125</v>
      </c>
      <c r="F5" s="163">
        <f>G35</f>
        <v>0.55208333333333337</v>
      </c>
      <c r="G5" s="163">
        <f>G41</f>
        <v>0.28472222222222221</v>
      </c>
      <c r="H5" s="163">
        <f>G47</f>
        <v>0.55555555555555558</v>
      </c>
      <c r="I5" s="163">
        <f>G55</f>
        <v>0.32291666666666669</v>
      </c>
      <c r="K5" s="15"/>
      <c r="L5" s="15"/>
      <c r="M5" s="180">
        <f>G28</f>
        <v>0.87499999999999989</v>
      </c>
      <c r="N5" s="15"/>
      <c r="O5" s="15"/>
      <c r="P5" s="15"/>
      <c r="Q5" s="15"/>
      <c r="R5" s="15"/>
      <c r="S5" s="15"/>
    </row>
    <row r="6" spans="1:21" s="14" customFormat="1" ht="12" customHeight="1" x14ac:dyDescent="0.2">
      <c r="A6" s="14" t="s">
        <v>2</v>
      </c>
      <c r="B6" s="15"/>
      <c r="C6" s="163">
        <f>S15</f>
        <v>0.37083333333333335</v>
      </c>
      <c r="D6" s="163">
        <f>S27</f>
        <v>0.87430555555555545</v>
      </c>
      <c r="E6" s="163">
        <f>S33</f>
        <v>0.40208333333333335</v>
      </c>
      <c r="F6" s="163">
        <f>S38</f>
        <v>0.7006944444444444</v>
      </c>
      <c r="G6" s="163">
        <f>S45</f>
        <v>0.41111111111111109</v>
      </c>
      <c r="H6" s="163">
        <f>S52</f>
        <v>0.70902777777777759</v>
      </c>
      <c r="I6" s="163">
        <f>S56</f>
        <v>0.36041666666666661</v>
      </c>
      <c r="K6" s="15"/>
      <c r="L6" s="15"/>
      <c r="M6" s="180">
        <f>S28</f>
        <v>0.88055555555555542</v>
      </c>
      <c r="N6" s="15"/>
      <c r="O6" s="15"/>
      <c r="P6" s="15"/>
      <c r="Q6" s="15"/>
      <c r="R6" s="15"/>
      <c r="S6" s="15"/>
    </row>
    <row r="7" spans="1:21" s="14" customFormat="1" ht="12" customHeight="1" x14ac:dyDescent="0.2">
      <c r="A7" s="14" t="s">
        <v>3</v>
      </c>
      <c r="B7" s="15"/>
      <c r="C7" s="163">
        <f t="shared" ref="C7:F7" si="0">C6-C5</f>
        <v>0.12083333333333335</v>
      </c>
      <c r="D7" s="163">
        <f>D6-D5</f>
        <v>0.45069444444444434</v>
      </c>
      <c r="E7" s="163">
        <f>E6-E5</f>
        <v>0.12083333333333335</v>
      </c>
      <c r="F7" s="163">
        <f t="shared" si="0"/>
        <v>0.14861111111111103</v>
      </c>
      <c r="G7" s="163">
        <f>G6-G5</f>
        <v>0.12638888888888888</v>
      </c>
      <c r="H7" s="163">
        <f>H6-H5</f>
        <v>0.15347222222222201</v>
      </c>
      <c r="I7" s="163">
        <f>I6-I5</f>
        <v>3.7499999999999922E-2</v>
      </c>
      <c r="K7" s="164">
        <f>SUM(C7:I7)</f>
        <v>1.1583333333333328</v>
      </c>
      <c r="M7" s="180">
        <f>M6-M5</f>
        <v>5.5555555555555358E-3</v>
      </c>
      <c r="O7" s="164"/>
      <c r="P7" s="164"/>
      <c r="Q7" s="164"/>
      <c r="R7" s="164"/>
      <c r="S7" s="164"/>
    </row>
    <row r="8" spans="1:21" s="14" customFormat="1" ht="12" customHeight="1" x14ac:dyDescent="0.2">
      <c r="A8" s="14" t="s">
        <v>5</v>
      </c>
      <c r="B8" s="15"/>
      <c r="C8" s="16">
        <f>SUM(E13:E15)</f>
        <v>98.9</v>
      </c>
      <c r="D8" s="16">
        <f>SUM(E17:E27)</f>
        <v>396.5</v>
      </c>
      <c r="E8" s="16">
        <f>SUM(E31:E33)</f>
        <v>114.5</v>
      </c>
      <c r="F8" s="16">
        <f>SUM(E35:E38)</f>
        <v>132</v>
      </c>
      <c r="G8" s="16">
        <f>SUM(E41:E45)</f>
        <v>104.9</v>
      </c>
      <c r="H8" s="16">
        <f>SUM(E47:E52)</f>
        <v>171.99999999999997</v>
      </c>
      <c r="I8" s="16">
        <f>SUM(E55:E56)</f>
        <v>43.4</v>
      </c>
      <c r="K8" s="16">
        <f>SUM(C8:I8)</f>
        <v>1062.2</v>
      </c>
      <c r="M8" s="49">
        <f>E28</f>
        <v>8</v>
      </c>
      <c r="O8" s="16"/>
      <c r="P8" s="16"/>
      <c r="Q8" s="16"/>
      <c r="R8" s="16"/>
      <c r="S8" s="16"/>
    </row>
    <row r="9" spans="1:21" s="14" customFormat="1" ht="12" customHeight="1" x14ac:dyDescent="0.2">
      <c r="A9" s="14" t="s">
        <v>7</v>
      </c>
      <c r="B9" s="15"/>
      <c r="C9" s="15"/>
      <c r="D9" s="165"/>
      <c r="E9" s="165"/>
      <c r="F9" s="139"/>
      <c r="G9" s="139"/>
      <c r="H9" s="139"/>
      <c r="I9" s="139"/>
      <c r="J9" s="15"/>
      <c r="K9" s="15">
        <v>3</v>
      </c>
      <c r="M9" s="15"/>
      <c r="O9" s="15"/>
      <c r="P9" s="15"/>
      <c r="Q9" s="15"/>
      <c r="R9" s="15"/>
      <c r="S9" s="15"/>
    </row>
    <row r="10" spans="1:21" ht="12" customHeight="1" x14ac:dyDescent="0.25">
      <c r="D10" s="10"/>
      <c r="E10" s="4"/>
      <c r="I10" s="4"/>
    </row>
    <row r="11" spans="1:21" ht="12" customHeight="1" x14ac:dyDescent="0.2">
      <c r="A11" s="4" t="s">
        <v>9</v>
      </c>
      <c r="B11" s="1" t="s">
        <v>10</v>
      </c>
      <c r="C11" s="1" t="s">
        <v>11</v>
      </c>
      <c r="E11" s="6" t="s">
        <v>12</v>
      </c>
      <c r="F11" s="170" t="s">
        <v>13</v>
      </c>
      <c r="G11" s="170" t="s">
        <v>14</v>
      </c>
      <c r="H11" s="58" t="s">
        <v>15</v>
      </c>
      <c r="I11" s="170" t="s">
        <v>14</v>
      </c>
      <c r="J11" s="58" t="s">
        <v>15</v>
      </c>
      <c r="K11" s="58" t="s">
        <v>18</v>
      </c>
      <c r="L11" s="58" t="s">
        <v>23</v>
      </c>
      <c r="M11" s="58" t="s">
        <v>18</v>
      </c>
      <c r="N11" s="58" t="s">
        <v>23</v>
      </c>
      <c r="O11" s="58" t="s">
        <v>18</v>
      </c>
      <c r="P11" s="58" t="s">
        <v>23</v>
      </c>
      <c r="Q11" s="58" t="s">
        <v>18</v>
      </c>
      <c r="R11" s="58" t="s">
        <v>23</v>
      </c>
      <c r="S11" s="58" t="s">
        <v>18</v>
      </c>
      <c r="T11" s="58" t="s">
        <v>23</v>
      </c>
      <c r="U11" s="86" t="s">
        <v>127</v>
      </c>
    </row>
    <row r="12" spans="1:21" s="95" customFormat="1" ht="12" customHeight="1" x14ac:dyDescent="0.2">
      <c r="B12" s="1"/>
      <c r="C12" s="1"/>
      <c r="D12" s="1"/>
      <c r="E12" s="6"/>
      <c r="F12" s="59"/>
      <c r="G12" s="88"/>
      <c r="H12" s="58"/>
      <c r="I12" s="8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86"/>
    </row>
    <row r="13" spans="1:21" ht="12" customHeight="1" x14ac:dyDescent="0.25">
      <c r="A13" s="14">
        <v>700</v>
      </c>
      <c r="B13" s="15">
        <v>0</v>
      </c>
      <c r="C13" s="15">
        <v>1</v>
      </c>
      <c r="D13" s="15" t="str">
        <f t="shared" ref="D13" si="1">CONCATENATE(A13," ",B13)</f>
        <v>700 0</v>
      </c>
      <c r="E13" s="16">
        <f>VLOOKUP(D13,Kilometrit!$C$4:$D$48,2,FALSE)</f>
        <v>32.9</v>
      </c>
      <c r="F13" s="15"/>
      <c r="G13" s="181">
        <v>0.25</v>
      </c>
      <c r="H13" s="14" t="s">
        <v>46</v>
      </c>
      <c r="I13" s="24">
        <f>G13+TIME(0,15,0)</f>
        <v>0.26041666666666669</v>
      </c>
      <c r="J13" s="14" t="s">
        <v>54</v>
      </c>
      <c r="K13" s="24">
        <f>I13+TIME(0,18,0)</f>
        <v>0.2729166666666667</v>
      </c>
      <c r="L13" s="14" t="s">
        <v>30</v>
      </c>
      <c r="M13" s="14"/>
      <c r="N13" s="14"/>
      <c r="O13" s="14"/>
      <c r="P13" s="14"/>
      <c r="S13" s="24">
        <f>K13+TIME(0,4,0)</f>
        <v>0.27569444444444446</v>
      </c>
      <c r="T13" s="87" t="s">
        <v>31</v>
      </c>
    </row>
    <row r="14" spans="1:21" ht="12" customHeight="1" x14ac:dyDescent="0.25">
      <c r="A14" s="14">
        <v>700</v>
      </c>
      <c r="B14" s="1">
        <v>1</v>
      </c>
      <c r="C14" s="1">
        <v>1</v>
      </c>
      <c r="D14" s="1" t="str">
        <f>CONCATENATE(A14," ",B14)</f>
        <v>700 1</v>
      </c>
      <c r="E14" s="16">
        <f>VLOOKUP(D14,Kilometrit!$C$4:$D$48,2,FALSE)</f>
        <v>33.1</v>
      </c>
      <c r="G14" s="182">
        <v>0.2986111111111111</v>
      </c>
      <c r="H14" s="4" t="s">
        <v>31</v>
      </c>
      <c r="I14" s="12">
        <f>G14+TIME(0,4,0)</f>
        <v>0.30138888888888887</v>
      </c>
      <c r="J14" s="4" t="s">
        <v>30</v>
      </c>
      <c r="K14" s="12">
        <f>I14+TIME(0,18,0)</f>
        <v>0.31388888888888888</v>
      </c>
      <c r="L14" s="4" t="s">
        <v>54</v>
      </c>
      <c r="S14" s="12">
        <f>K14+TIME(0,24,0)</f>
        <v>0.33055555555555555</v>
      </c>
      <c r="T14" s="19" t="s">
        <v>46</v>
      </c>
    </row>
    <row r="15" spans="1:21" ht="12" customHeight="1" x14ac:dyDescent="0.25">
      <c r="A15" s="14">
        <v>700</v>
      </c>
      <c r="B15" s="15">
        <v>0</v>
      </c>
      <c r="C15" s="15">
        <v>1</v>
      </c>
      <c r="D15" s="15" t="str">
        <f t="shared" ref="D15" si="2">CONCATENATE(A15," ",B15)</f>
        <v>700 0</v>
      </c>
      <c r="E15" s="16">
        <f>VLOOKUP(D15,Kilometrit!$C$4:$D$48,2,FALSE)</f>
        <v>32.9</v>
      </c>
      <c r="F15" s="15"/>
      <c r="G15" s="181">
        <v>0.34375</v>
      </c>
      <c r="H15" s="14" t="s">
        <v>46</v>
      </c>
      <c r="I15" s="24">
        <f>G15+TIME(0,16,0)</f>
        <v>0.35486111111111113</v>
      </c>
      <c r="J15" s="14" t="s">
        <v>54</v>
      </c>
      <c r="K15" s="24">
        <f>I15+TIME(0,19,0)</f>
        <v>0.36805555555555558</v>
      </c>
      <c r="L15" s="14" t="s">
        <v>30</v>
      </c>
      <c r="M15" s="14"/>
      <c r="N15" s="14"/>
      <c r="O15" s="14"/>
      <c r="P15" s="14"/>
      <c r="S15" s="24">
        <f>K15+TIME(0,4,0)</f>
        <v>0.37083333333333335</v>
      </c>
      <c r="T15" s="87" t="s">
        <v>31</v>
      </c>
    </row>
    <row r="16" spans="1:21" s="95" customFormat="1" ht="12" customHeight="1" x14ac:dyDescent="0.25">
      <c r="A16" s="14"/>
      <c r="B16" s="15"/>
      <c r="C16" s="15"/>
      <c r="D16" s="15"/>
      <c r="E16" s="16"/>
      <c r="F16" s="15"/>
      <c r="G16" s="181"/>
      <c r="H16" s="14"/>
      <c r="I16" s="24"/>
      <c r="J16" s="14"/>
      <c r="K16" s="24"/>
      <c r="L16" s="14"/>
      <c r="M16" s="14"/>
      <c r="N16" s="14"/>
      <c r="O16" s="14"/>
      <c r="P16" s="14"/>
      <c r="S16" s="24"/>
      <c r="T16" s="87"/>
      <c r="U16"/>
    </row>
    <row r="17" spans="1:23" ht="12" customHeight="1" x14ac:dyDescent="0.2">
      <c r="A17" s="4">
        <v>700</v>
      </c>
      <c r="B17" s="1">
        <v>1</v>
      </c>
      <c r="C17" s="15">
        <v>1</v>
      </c>
      <c r="D17" s="15" t="str">
        <f t="shared" ref="D17:D28" si="3">CONCATENATE(A17," ",B17)</f>
        <v>700 1</v>
      </c>
      <c r="E17" s="16">
        <f>VLOOKUP(D17,Kilometrit!$C$4:$D$48,2,FALSE)</f>
        <v>33.1</v>
      </c>
      <c r="F17" s="4"/>
      <c r="G17" s="183">
        <v>0.4236111111111111</v>
      </c>
      <c r="H17" s="4" t="s">
        <v>31</v>
      </c>
      <c r="I17" s="12">
        <f>G17+TIME(0,3,0)</f>
        <v>0.42569444444444443</v>
      </c>
      <c r="J17" s="4" t="s">
        <v>30</v>
      </c>
      <c r="K17" s="12">
        <f>I17+TIME(0,18,0)</f>
        <v>0.43819444444444444</v>
      </c>
      <c r="L17" s="4" t="s">
        <v>54</v>
      </c>
      <c r="S17" s="12">
        <f>K17+TIME(0,19,0)</f>
        <v>0.4513888888888889</v>
      </c>
      <c r="T17" s="19" t="s">
        <v>46</v>
      </c>
      <c r="U17" s="4"/>
    </row>
    <row r="18" spans="1:23" ht="12" customHeight="1" x14ac:dyDescent="0.2">
      <c r="A18" s="14">
        <v>602</v>
      </c>
      <c r="B18" s="1">
        <v>0</v>
      </c>
      <c r="C18" s="15">
        <v>1</v>
      </c>
      <c r="D18" s="15" t="str">
        <f t="shared" si="3"/>
        <v>602 0</v>
      </c>
      <c r="E18" s="16">
        <f>VLOOKUP(D18,Kilometrit!$C$4:$D$48,2,FALSE)</f>
        <v>37.299999999999997</v>
      </c>
      <c r="F18" s="15"/>
      <c r="G18" s="181">
        <v>0.46527777777777773</v>
      </c>
      <c r="H18" s="4" t="s">
        <v>46</v>
      </c>
      <c r="I18" s="12">
        <f>G18+TIME(0,8,0)</f>
        <v>0.47083333333333327</v>
      </c>
      <c r="J18" s="4" t="s">
        <v>55</v>
      </c>
      <c r="K18" s="96" t="s">
        <v>99</v>
      </c>
      <c r="L18" s="4" t="s">
        <v>79</v>
      </c>
      <c r="M18" s="96">
        <f>I18+TIME(0,19,0)</f>
        <v>0.48402777777777772</v>
      </c>
      <c r="N18" s="4" t="s">
        <v>102</v>
      </c>
      <c r="S18" s="12">
        <f>M18+TIME(0,18,0)</f>
        <v>0.49652777777777773</v>
      </c>
      <c r="T18" s="19" t="s">
        <v>31</v>
      </c>
      <c r="U18" s="4"/>
    </row>
    <row r="19" spans="1:23" ht="12" customHeight="1" x14ac:dyDescent="0.2">
      <c r="A19" s="14">
        <v>702</v>
      </c>
      <c r="B19" s="1">
        <v>1</v>
      </c>
      <c r="C19" s="1">
        <v>1</v>
      </c>
      <c r="D19" s="1" t="str">
        <f t="shared" si="3"/>
        <v>702 1</v>
      </c>
      <c r="E19" s="16">
        <f>VLOOKUP(D19,Kilometrit!$C$4:$D$48,2,FALSE)</f>
        <v>43.6</v>
      </c>
      <c r="G19" s="182">
        <v>0.50347222222222221</v>
      </c>
      <c r="H19" s="4" t="s">
        <v>31</v>
      </c>
      <c r="I19" s="12">
        <f>G19+TIME(0,4,0)</f>
        <v>0.50624999999999998</v>
      </c>
      <c r="J19" s="4" t="s">
        <v>30</v>
      </c>
      <c r="K19" s="12">
        <f>I19+TIME(0,18,0)</f>
        <v>0.51874999999999993</v>
      </c>
      <c r="L19" s="4" t="s">
        <v>54</v>
      </c>
      <c r="M19" s="12">
        <f>K19+TIME(0,18,0)</f>
        <v>0.53124999999999989</v>
      </c>
      <c r="N19" s="4" t="s">
        <v>58</v>
      </c>
      <c r="S19" s="12">
        <f>M19+TIME(0,10,0)</f>
        <v>0.53819444444444431</v>
      </c>
      <c r="T19" s="4" t="s">
        <v>62</v>
      </c>
      <c r="U19" s="4"/>
    </row>
    <row r="20" spans="1:23" ht="12" customHeight="1" x14ac:dyDescent="0.2">
      <c r="A20" s="14">
        <v>702</v>
      </c>
      <c r="B20" s="1">
        <v>0</v>
      </c>
      <c r="C20" s="1">
        <v>1</v>
      </c>
      <c r="D20" s="1" t="str">
        <f t="shared" si="3"/>
        <v>702 0</v>
      </c>
      <c r="E20" s="16">
        <f>VLOOKUP(D20,Kilometrit!$C$4:$D$48,2,FALSE)</f>
        <v>43.3</v>
      </c>
      <c r="G20" s="181">
        <v>0.54166666666666663</v>
      </c>
      <c r="H20" s="89" t="s">
        <v>62</v>
      </c>
      <c r="I20" s="11">
        <f>G20+TIME(0,10,0)</f>
        <v>0.54861111111111105</v>
      </c>
      <c r="J20" s="4" t="s">
        <v>58</v>
      </c>
      <c r="K20" s="24">
        <f>I20+TIME(0,17,0)</f>
        <v>0.56041666666666656</v>
      </c>
      <c r="L20" s="14" t="s">
        <v>54</v>
      </c>
      <c r="M20" s="24">
        <f>K20+TIME(0,19,0)</f>
        <v>0.57361111111111096</v>
      </c>
      <c r="N20" s="14" t="s">
        <v>30</v>
      </c>
      <c r="S20" s="24">
        <f>M20+TIME(0,4,0)</f>
        <v>0.57638888888888873</v>
      </c>
      <c r="T20" s="87" t="s">
        <v>31</v>
      </c>
      <c r="U20" s="4"/>
    </row>
    <row r="21" spans="1:23" ht="12" customHeight="1" x14ac:dyDescent="0.2">
      <c r="A21" s="14">
        <v>710</v>
      </c>
      <c r="B21" s="15">
        <v>1</v>
      </c>
      <c r="C21" s="15">
        <v>1</v>
      </c>
      <c r="D21" s="15" t="str">
        <f t="shared" si="3"/>
        <v>710 1</v>
      </c>
      <c r="E21" s="16">
        <f>VLOOKUP(D21,Kilometrit!$C$4:$D$48,2,FALSE)</f>
        <v>37</v>
      </c>
      <c r="F21" s="15"/>
      <c r="G21" s="181">
        <v>0.59722222222222221</v>
      </c>
      <c r="H21" s="14" t="s">
        <v>31</v>
      </c>
      <c r="I21" s="12">
        <f>G21+TIME(0,4,0)</f>
        <v>0.6</v>
      </c>
      <c r="J21" s="4" t="s">
        <v>30</v>
      </c>
      <c r="K21" s="12">
        <f>I21+TIME(0,18,0)</f>
        <v>0.61249999999999993</v>
      </c>
      <c r="L21" s="4" t="s">
        <v>54</v>
      </c>
      <c r="M21" s="24">
        <f>K21+TIME(0,11,0)</f>
        <v>0.6201388888888888</v>
      </c>
      <c r="N21" s="14" t="s">
        <v>63</v>
      </c>
      <c r="O21" s="24">
        <f>M21+TIME(0,7,0)</f>
        <v>0.62499999999999989</v>
      </c>
      <c r="P21" s="14" t="s">
        <v>64</v>
      </c>
      <c r="S21" s="24">
        <f>O21+TIME(0,5,0)</f>
        <v>0.6284722222222221</v>
      </c>
      <c r="T21" s="14" t="s">
        <v>58</v>
      </c>
      <c r="U21" s="25"/>
    </row>
    <row r="22" spans="1:23" ht="12" customHeight="1" x14ac:dyDescent="0.2">
      <c r="A22" s="4">
        <v>700</v>
      </c>
      <c r="B22" s="1">
        <v>0</v>
      </c>
      <c r="C22" s="15">
        <v>1</v>
      </c>
      <c r="D22" s="1" t="str">
        <f t="shared" si="3"/>
        <v>700 0</v>
      </c>
      <c r="E22" s="16">
        <f>VLOOKUP(D22,Kilometrit!$C$4:$D$48,2,FALSE)</f>
        <v>32.9</v>
      </c>
      <c r="G22" s="182">
        <v>0.63194444444444442</v>
      </c>
      <c r="H22" s="14" t="s">
        <v>58</v>
      </c>
      <c r="I22" s="24">
        <f>G22+TIME(0,17,0)</f>
        <v>0.64374999999999993</v>
      </c>
      <c r="J22" s="14" t="s">
        <v>54</v>
      </c>
      <c r="K22" s="24">
        <f>I22+TIME(0,19,0)</f>
        <v>0.65694444444444433</v>
      </c>
      <c r="L22" s="14" t="s">
        <v>30</v>
      </c>
      <c r="M22" s="14"/>
      <c r="N22" s="14"/>
      <c r="O22" s="14"/>
      <c r="P22" s="14"/>
      <c r="S22" s="24">
        <f>K22+TIME(0,4,0)</f>
        <v>0.6597222222222221</v>
      </c>
      <c r="T22" s="87" t="s">
        <v>31</v>
      </c>
      <c r="U22" s="4"/>
    </row>
    <row r="23" spans="1:23" ht="12" customHeight="1" x14ac:dyDescent="0.2">
      <c r="A23" s="14">
        <v>700</v>
      </c>
      <c r="B23" s="15">
        <v>1</v>
      </c>
      <c r="C23" s="15">
        <v>1</v>
      </c>
      <c r="D23" s="15" t="str">
        <f t="shared" si="3"/>
        <v>700 1</v>
      </c>
      <c r="E23" s="16">
        <f>VLOOKUP(D23,Kilometrit!$C$4:$D$48,2,FALSE)</f>
        <v>33.1</v>
      </c>
      <c r="F23" s="15"/>
      <c r="G23" s="181">
        <v>0.68055555555555547</v>
      </c>
      <c r="H23" s="4" t="s">
        <v>31</v>
      </c>
      <c r="I23" s="12">
        <f>G23+TIME(0,4,0)</f>
        <v>0.68333333333333324</v>
      </c>
      <c r="J23" s="4" t="s">
        <v>30</v>
      </c>
      <c r="K23" s="12">
        <f>I23+TIME(0,18,0)</f>
        <v>0.69583333333333319</v>
      </c>
      <c r="L23" s="4" t="s">
        <v>54</v>
      </c>
      <c r="S23" s="12">
        <f>K23+TIME(0,20,0)</f>
        <v>0.70972222222222203</v>
      </c>
      <c r="T23" s="19" t="s">
        <v>46</v>
      </c>
      <c r="U23" s="4"/>
    </row>
    <row r="24" spans="1:23" ht="12" customHeight="1" x14ac:dyDescent="0.2">
      <c r="A24" s="4">
        <v>602</v>
      </c>
      <c r="B24" s="15">
        <v>0</v>
      </c>
      <c r="C24" s="15">
        <v>1</v>
      </c>
      <c r="D24" s="15" t="str">
        <f t="shared" si="3"/>
        <v>602 0</v>
      </c>
      <c r="E24" s="16">
        <f>VLOOKUP(D24,Kilometrit!$C$4:$D$48,2,FALSE)</f>
        <v>37.299999999999997</v>
      </c>
      <c r="F24" s="4"/>
      <c r="G24" s="183">
        <v>0.71527777777777779</v>
      </c>
      <c r="H24" s="4" t="s">
        <v>46</v>
      </c>
      <c r="I24" s="12">
        <f>G24+TIME(0,8,0)</f>
        <v>0.72083333333333333</v>
      </c>
      <c r="J24" s="4" t="s">
        <v>55</v>
      </c>
      <c r="K24" s="96" t="s">
        <v>99</v>
      </c>
      <c r="L24" s="4" t="s">
        <v>79</v>
      </c>
      <c r="M24" s="96">
        <f>I24+TIME(0,16,0)</f>
        <v>0.7319444444444444</v>
      </c>
      <c r="N24" s="4" t="s">
        <v>102</v>
      </c>
      <c r="S24" s="12">
        <f>M24+TIME(0,16,0)</f>
        <v>0.74305555555555547</v>
      </c>
      <c r="T24" s="19" t="s">
        <v>31</v>
      </c>
      <c r="U24" s="25"/>
    </row>
    <row r="25" spans="1:23" s="14" customFormat="1" ht="12" customHeight="1" x14ac:dyDescent="0.2">
      <c r="A25" s="4">
        <v>700</v>
      </c>
      <c r="B25" s="15">
        <v>1</v>
      </c>
      <c r="C25" s="15">
        <v>1</v>
      </c>
      <c r="D25" s="15" t="str">
        <f t="shared" si="3"/>
        <v>700 1</v>
      </c>
      <c r="E25" s="16">
        <f>VLOOKUP(D25,Kilometrit!$C$4:$D$48,2,FALSE)</f>
        <v>33.1</v>
      </c>
      <c r="F25" s="4"/>
      <c r="G25" s="183">
        <v>0.76388888888888884</v>
      </c>
      <c r="H25" s="4" t="s">
        <v>31</v>
      </c>
      <c r="I25" s="12">
        <f>G25+TIME(0,4,0)</f>
        <v>0.76666666666666661</v>
      </c>
      <c r="J25" s="4" t="s">
        <v>30</v>
      </c>
      <c r="K25" s="12">
        <f>I25+TIME(0,18,0)</f>
        <v>0.77916666666666656</v>
      </c>
      <c r="L25" s="4" t="s">
        <v>54</v>
      </c>
      <c r="M25" s="4"/>
      <c r="N25" s="4"/>
      <c r="O25" s="4"/>
      <c r="P25" s="4"/>
      <c r="S25" s="12">
        <f>K25+TIME(0,18,0)</f>
        <v>0.79166666666666652</v>
      </c>
      <c r="T25" s="19" t="s">
        <v>46</v>
      </c>
    </row>
    <row r="26" spans="1:23" s="14" customFormat="1" ht="12" customHeight="1" x14ac:dyDescent="0.2">
      <c r="A26" s="4">
        <v>700</v>
      </c>
      <c r="B26" s="15">
        <v>0</v>
      </c>
      <c r="C26" s="15">
        <v>1</v>
      </c>
      <c r="D26" s="15" t="str">
        <f t="shared" si="3"/>
        <v>700 0</v>
      </c>
      <c r="E26" s="16">
        <f>VLOOKUP(D26,Kilometrit!$C$4:$D$48,2,FALSE)</f>
        <v>32.9</v>
      </c>
      <c r="F26" s="4"/>
      <c r="G26" s="183">
        <v>0.79861111111111116</v>
      </c>
      <c r="H26" s="14" t="s">
        <v>46</v>
      </c>
      <c r="I26" s="24">
        <f>G26+TIME(0,17,0)</f>
        <v>0.81041666666666667</v>
      </c>
      <c r="J26" s="14" t="s">
        <v>54</v>
      </c>
      <c r="K26" s="24">
        <f>I26+TIME(0,19,0)</f>
        <v>0.82361111111111107</v>
      </c>
      <c r="L26" s="14" t="s">
        <v>30</v>
      </c>
      <c r="S26" s="24">
        <f>K26+TIME(0,4,0)</f>
        <v>0.82638888888888884</v>
      </c>
      <c r="T26" s="87" t="s">
        <v>31</v>
      </c>
    </row>
    <row r="27" spans="1:23" ht="12" customHeight="1" x14ac:dyDescent="0.2">
      <c r="A27" s="139" t="s">
        <v>156</v>
      </c>
      <c r="B27" s="15">
        <v>1</v>
      </c>
      <c r="C27" s="15">
        <v>1</v>
      </c>
      <c r="D27" s="15" t="str">
        <f t="shared" si="3"/>
        <v>701A 1</v>
      </c>
      <c r="E27" s="16">
        <f>VLOOKUP(D27,Kilometrit!$C$4:$D$48,2,FALSE)</f>
        <v>32.9</v>
      </c>
      <c r="F27" s="15"/>
      <c r="G27" s="181">
        <v>0.84722222222222221</v>
      </c>
      <c r="H27" s="4" t="s">
        <v>31</v>
      </c>
      <c r="I27" s="12">
        <f>G27+TIME(0,4,0)</f>
        <v>0.85</v>
      </c>
      <c r="J27" s="4" t="s">
        <v>30</v>
      </c>
      <c r="K27" s="12">
        <f>I27+TIME(0,17,0)</f>
        <v>0.86180555555555549</v>
      </c>
      <c r="L27" s="4" t="s">
        <v>54</v>
      </c>
      <c r="S27" s="12">
        <f>K27+TIME(0,18,0)</f>
        <v>0.87430555555555545</v>
      </c>
      <c r="T27" s="19" t="s">
        <v>46</v>
      </c>
      <c r="U27" s="4"/>
    </row>
    <row r="28" spans="1:23" s="14" customFormat="1" ht="12" customHeight="1" x14ac:dyDescent="0.2">
      <c r="A28" s="175" t="s">
        <v>157</v>
      </c>
      <c r="B28" s="48">
        <v>1</v>
      </c>
      <c r="C28" s="48">
        <v>1</v>
      </c>
      <c r="D28" s="48" t="str">
        <f t="shared" si="3"/>
        <v>701B 1</v>
      </c>
      <c r="E28" s="49">
        <f>VLOOKUP(D28,Kilometrit!$C$4:$D$48,2,FALSE)</f>
        <v>8</v>
      </c>
      <c r="F28" s="48"/>
      <c r="G28" s="184">
        <f>S27+TIME(0,1,0)</f>
        <v>0.87499999999999989</v>
      </c>
      <c r="H28" s="47" t="s">
        <v>58</v>
      </c>
      <c r="I28" s="159"/>
      <c r="J28" s="47"/>
      <c r="K28" s="159"/>
      <c r="L28" s="47"/>
      <c r="M28" s="159"/>
      <c r="N28" s="160"/>
      <c r="O28" s="47"/>
      <c r="P28" s="47"/>
      <c r="Q28" s="47"/>
      <c r="R28" s="47"/>
      <c r="S28" s="159">
        <f>S27+TIME(0,9,0)</f>
        <v>0.88055555555555542</v>
      </c>
      <c r="T28" s="47" t="s">
        <v>55</v>
      </c>
      <c r="U28" s="47" t="s">
        <v>172</v>
      </c>
      <c r="V28" s="47"/>
      <c r="W28" s="47"/>
    </row>
    <row r="29" spans="1:23" s="95" customFormat="1" ht="12" customHeight="1" x14ac:dyDescent="0.25">
      <c r="B29" s="1"/>
      <c r="C29" s="15"/>
      <c r="D29" s="1"/>
      <c r="E29" s="16"/>
      <c r="F29" s="1"/>
      <c r="G29" s="182"/>
      <c r="I29" s="12"/>
      <c r="K29" s="12"/>
      <c r="S29" s="12"/>
      <c r="T29" s="19"/>
      <c r="U29" s="31"/>
    </row>
    <row r="30" spans="1:23" s="95" customFormat="1" ht="12" customHeight="1" x14ac:dyDescent="0.25">
      <c r="B30" s="1"/>
      <c r="C30" s="15"/>
      <c r="D30" s="1"/>
      <c r="E30" s="16"/>
      <c r="F30" s="1"/>
      <c r="G30" s="182"/>
      <c r="I30" s="12"/>
      <c r="K30" s="12"/>
      <c r="S30" s="12"/>
      <c r="T30" s="19"/>
      <c r="U30" s="31"/>
    </row>
    <row r="31" spans="1:23" ht="12" customHeight="1" x14ac:dyDescent="0.2">
      <c r="A31" s="14">
        <v>703</v>
      </c>
      <c r="B31" s="1">
        <v>1</v>
      </c>
      <c r="C31" s="1">
        <v>2</v>
      </c>
      <c r="D31" s="1" t="str">
        <f>CONCATENATE(A31," ",B31)</f>
        <v>703 1</v>
      </c>
      <c r="E31" s="16">
        <f>VLOOKUP(D31,Kilometrit!$C$4:$D$48,2,FALSE)</f>
        <v>48.5</v>
      </c>
      <c r="G31" s="182">
        <v>0.28125</v>
      </c>
      <c r="H31" s="89" t="s">
        <v>60</v>
      </c>
      <c r="I31" s="11">
        <f>G31+TIME(0,15,0)</f>
        <v>0.29166666666666669</v>
      </c>
      <c r="J31" s="4" t="s">
        <v>58</v>
      </c>
      <c r="K31" s="12">
        <f>I31+TIME(0,16,0)</f>
        <v>0.30277777777777781</v>
      </c>
      <c r="L31" s="4" t="s">
        <v>54</v>
      </c>
      <c r="M31" s="12">
        <f>K31+TIME(0,21,0)</f>
        <v>0.31736111111111115</v>
      </c>
      <c r="N31" s="14" t="s">
        <v>30</v>
      </c>
      <c r="O31" s="24">
        <f>M31+TIME(0,4,0)</f>
        <v>0.32013888888888892</v>
      </c>
      <c r="P31" s="87" t="s">
        <v>31</v>
      </c>
      <c r="Q31" s="12">
        <f>O31+TIME(0,8,0)</f>
        <v>0.32569444444444445</v>
      </c>
      <c r="R31" s="4" t="s">
        <v>41</v>
      </c>
      <c r="S31" s="13">
        <f>Q31+TIME(0,5,0)</f>
        <v>0.32916666666666666</v>
      </c>
      <c r="T31" s="4" t="s">
        <v>61</v>
      </c>
      <c r="U31" s="4"/>
    </row>
    <row r="32" spans="1:23" ht="12" customHeight="1" x14ac:dyDescent="0.2">
      <c r="A32" s="14">
        <v>700</v>
      </c>
      <c r="B32" s="1">
        <v>1</v>
      </c>
      <c r="C32" s="1">
        <v>2</v>
      </c>
      <c r="D32" s="1" t="str">
        <f>CONCATENATE(A32," ",B32)</f>
        <v>700 1</v>
      </c>
      <c r="E32" s="16">
        <f>VLOOKUP(D32,Kilometrit!$C$4:$D$48,2,FALSE)</f>
        <v>33.1</v>
      </c>
      <c r="G32" s="182">
        <v>0.34027777777777773</v>
      </c>
      <c r="H32" s="4" t="s">
        <v>31</v>
      </c>
      <c r="I32" s="12">
        <f>G32+TIME(0,4,0)</f>
        <v>0.3430555555555555</v>
      </c>
      <c r="J32" s="4" t="s">
        <v>30</v>
      </c>
      <c r="K32" s="12">
        <f>I32+TIME(0,18,0)</f>
        <v>0.35555555555555551</v>
      </c>
      <c r="L32" s="4" t="s">
        <v>54</v>
      </c>
      <c r="S32" s="12">
        <f>K32+TIME(0,20,0)</f>
        <v>0.36944444444444441</v>
      </c>
      <c r="T32" s="19" t="s">
        <v>58</v>
      </c>
      <c r="U32" s="4"/>
    </row>
    <row r="33" spans="1:21" ht="12" customHeight="1" x14ac:dyDescent="0.2">
      <c r="A33" s="14">
        <v>700</v>
      </c>
      <c r="B33" s="15">
        <v>0</v>
      </c>
      <c r="C33" s="15">
        <v>2</v>
      </c>
      <c r="D33" s="15" t="str">
        <f>CONCATENATE(A33," ",B33)</f>
        <v>700 0</v>
      </c>
      <c r="E33" s="16">
        <f>VLOOKUP(D33,Kilometrit!$C$4:$D$48,2,FALSE)</f>
        <v>32.9</v>
      </c>
      <c r="F33" s="15"/>
      <c r="G33" s="181">
        <v>0.375</v>
      </c>
      <c r="H33" s="14" t="s">
        <v>46</v>
      </c>
      <c r="I33" s="24">
        <f>G33+TIME(0,16,0)</f>
        <v>0.38611111111111113</v>
      </c>
      <c r="J33" s="14" t="s">
        <v>54</v>
      </c>
      <c r="K33" s="24">
        <f>I33+TIME(0,19,0)</f>
        <v>0.39930555555555558</v>
      </c>
      <c r="L33" s="14" t="s">
        <v>30</v>
      </c>
      <c r="M33" s="14"/>
      <c r="N33" s="14"/>
      <c r="O33" s="14"/>
      <c r="P33" s="14"/>
      <c r="S33" s="24">
        <f>K33+TIME(0,4,0)</f>
        <v>0.40208333333333335</v>
      </c>
      <c r="T33" s="87" t="s">
        <v>31</v>
      </c>
      <c r="U33" s="4"/>
    </row>
    <row r="34" spans="1:21" s="95" customFormat="1" ht="12" customHeight="1" x14ac:dyDescent="0.2">
      <c r="A34" s="14"/>
      <c r="B34" s="15"/>
      <c r="C34" s="15"/>
      <c r="D34" s="15"/>
      <c r="E34" s="16"/>
      <c r="F34" s="15"/>
      <c r="G34" s="181"/>
      <c r="H34" s="14"/>
      <c r="I34" s="24"/>
      <c r="J34" s="14"/>
      <c r="K34" s="24"/>
      <c r="L34" s="14"/>
      <c r="M34" s="14"/>
      <c r="N34" s="14"/>
      <c r="O34" s="14"/>
      <c r="P34" s="14"/>
      <c r="S34" s="24"/>
      <c r="T34" s="87"/>
    </row>
    <row r="35" spans="1:21" ht="12" customHeight="1" x14ac:dyDescent="0.25">
      <c r="A35" s="14">
        <v>700</v>
      </c>
      <c r="B35" s="1">
        <v>0</v>
      </c>
      <c r="C35" s="15">
        <v>2</v>
      </c>
      <c r="D35" s="15" t="str">
        <f>CONCATENATE(A35," ",B35)</f>
        <v>700 0</v>
      </c>
      <c r="E35" s="16">
        <f>VLOOKUP(D35,Kilometrit!$C$4:$D$48,2,FALSE)</f>
        <v>32.9</v>
      </c>
      <c r="G35" s="182">
        <v>0.55208333333333337</v>
      </c>
      <c r="H35" s="4" t="s">
        <v>31</v>
      </c>
      <c r="I35" s="12">
        <f>G35+TIME(0,4,0)</f>
        <v>0.55486111111111114</v>
      </c>
      <c r="J35" s="4" t="s">
        <v>30</v>
      </c>
      <c r="K35" s="12">
        <f>I35+TIME(0,18,0)</f>
        <v>0.56736111111111109</v>
      </c>
      <c r="L35" s="4" t="s">
        <v>54</v>
      </c>
      <c r="S35" s="12">
        <f>K35+TIME(0,19,0)</f>
        <v>0.58055555555555549</v>
      </c>
      <c r="T35" s="19" t="s">
        <v>58</v>
      </c>
    </row>
    <row r="36" spans="1:21" ht="12" customHeight="1" x14ac:dyDescent="0.25">
      <c r="A36" s="14">
        <v>700</v>
      </c>
      <c r="B36" s="1">
        <v>1</v>
      </c>
      <c r="C36" s="15">
        <v>2</v>
      </c>
      <c r="D36" s="15" t="str">
        <f>CONCATENATE(A36," ",B36)</f>
        <v>700 1</v>
      </c>
      <c r="E36" s="16">
        <f>VLOOKUP(D36,Kilometrit!$C$4:$D$48,2,FALSE)</f>
        <v>33.1</v>
      </c>
      <c r="G36" s="183">
        <v>0.59027777777777779</v>
      </c>
      <c r="H36" s="14" t="s">
        <v>46</v>
      </c>
      <c r="I36" s="24">
        <f>G36+TIME(0,17,0)</f>
        <v>0.6020833333333333</v>
      </c>
      <c r="J36" s="14" t="s">
        <v>54</v>
      </c>
      <c r="K36" s="24">
        <f>I36+TIME(0,19,0)</f>
        <v>0.6152777777777777</v>
      </c>
      <c r="L36" s="14" t="s">
        <v>30</v>
      </c>
      <c r="M36" s="14"/>
      <c r="N36" s="14"/>
      <c r="Q36" s="14"/>
      <c r="R36" s="14"/>
      <c r="S36" s="24">
        <f>K36+TIME(0,4,0)</f>
        <v>0.61805555555555547</v>
      </c>
      <c r="T36" s="87" t="s">
        <v>31</v>
      </c>
    </row>
    <row r="37" spans="1:21" ht="12" customHeight="1" x14ac:dyDescent="0.25">
      <c r="A37" s="14">
        <v>700</v>
      </c>
      <c r="B37" s="1">
        <v>0</v>
      </c>
      <c r="C37" s="15">
        <v>2</v>
      </c>
      <c r="D37" s="15" t="str">
        <f>CONCATENATE(A37," ",B37)</f>
        <v>700 0</v>
      </c>
      <c r="E37" s="16">
        <f>VLOOKUP(D37,Kilometrit!$C$4:$D$48,2,FALSE)</f>
        <v>32.9</v>
      </c>
      <c r="G37" s="182">
        <v>0.63888888888888895</v>
      </c>
      <c r="H37" s="4" t="s">
        <v>31</v>
      </c>
      <c r="I37" s="12">
        <f>G37+TIME(0,4,0)</f>
        <v>0.64166666666666672</v>
      </c>
      <c r="J37" s="4" t="s">
        <v>30</v>
      </c>
      <c r="K37" s="12">
        <f>I37+TIME(0,18,0)</f>
        <v>0.65416666666666667</v>
      </c>
      <c r="L37" s="4" t="s">
        <v>54</v>
      </c>
      <c r="S37" s="12">
        <f>K37+TIME(0,23,0)</f>
        <v>0.67013888888888895</v>
      </c>
      <c r="T37" s="19" t="s">
        <v>58</v>
      </c>
    </row>
    <row r="38" spans="1:21" ht="12" customHeight="1" x14ac:dyDescent="0.25">
      <c r="A38" s="14">
        <v>700</v>
      </c>
      <c r="B38" s="1">
        <v>1</v>
      </c>
      <c r="C38" s="15">
        <v>2</v>
      </c>
      <c r="D38" s="15" t="str">
        <f>CONCATENATE(A38," ",B38)</f>
        <v>700 1</v>
      </c>
      <c r="E38" s="16">
        <f>VLOOKUP(D38,Kilometrit!$C$4:$D$48,2,FALSE)</f>
        <v>33.1</v>
      </c>
      <c r="F38" s="4"/>
      <c r="G38" s="183">
        <v>0.67361111111111116</v>
      </c>
      <c r="H38" s="14" t="s">
        <v>46</v>
      </c>
      <c r="I38" s="24">
        <f>G38+TIME(0,17,0)</f>
        <v>0.68541666666666667</v>
      </c>
      <c r="J38" s="14" t="s">
        <v>54</v>
      </c>
      <c r="K38" s="24">
        <f>I38+TIME(0,18,0)</f>
        <v>0.69791666666666663</v>
      </c>
      <c r="L38" s="14" t="s">
        <v>30</v>
      </c>
      <c r="M38" s="14"/>
      <c r="N38" s="14"/>
      <c r="Q38" s="14"/>
      <c r="R38" s="14"/>
      <c r="S38" s="24">
        <f>K38+TIME(0,4,0)</f>
        <v>0.7006944444444444</v>
      </c>
      <c r="T38" s="87" t="s">
        <v>31</v>
      </c>
    </row>
    <row r="39" spans="1:21" s="95" customFormat="1" ht="12" customHeight="1" x14ac:dyDescent="0.2">
      <c r="A39" s="14"/>
      <c r="B39" s="15"/>
      <c r="C39" s="15"/>
      <c r="D39" s="15"/>
      <c r="E39" s="16"/>
      <c r="F39" s="15"/>
      <c r="G39" s="181"/>
      <c r="H39" s="14"/>
      <c r="I39" s="24"/>
      <c r="J39" s="14"/>
      <c r="K39" s="24"/>
      <c r="L39" s="14"/>
      <c r="M39" s="14"/>
      <c r="N39" s="14"/>
      <c r="O39" s="14"/>
      <c r="P39" s="14"/>
      <c r="S39" s="24"/>
      <c r="T39" s="87"/>
    </row>
    <row r="40" spans="1:21" s="95" customFormat="1" ht="12" customHeight="1" x14ac:dyDescent="0.25">
      <c r="B40" s="1"/>
      <c r="C40" s="15"/>
      <c r="D40" s="1"/>
      <c r="E40" s="16"/>
      <c r="F40" s="1"/>
      <c r="G40" s="182"/>
      <c r="I40" s="12"/>
      <c r="K40" s="12"/>
      <c r="S40" s="12"/>
      <c r="T40" s="19"/>
      <c r="U40" s="31"/>
    </row>
    <row r="41" spans="1:21" s="23" customFormat="1" ht="12.95" customHeight="1" x14ac:dyDescent="0.25">
      <c r="A41" s="145">
        <v>751</v>
      </c>
      <c r="B41" s="15">
        <v>0</v>
      </c>
      <c r="C41" s="15">
        <v>3</v>
      </c>
      <c r="D41" s="15" t="str">
        <f>CONCATENATE(A41," ",B41)</f>
        <v>751 0</v>
      </c>
      <c r="E41" s="142">
        <v>12.4</v>
      </c>
      <c r="G41" s="185">
        <v>0.28472222222222221</v>
      </c>
      <c r="H41" s="143" t="s">
        <v>58</v>
      </c>
      <c r="I41" s="144">
        <f>G41+TIME(0,8,0)</f>
        <v>0.29027777777777775</v>
      </c>
      <c r="J41" s="143" t="s">
        <v>84</v>
      </c>
      <c r="K41" s="144">
        <f>I41+TIME(0,7,0)</f>
        <v>0.29513888888888884</v>
      </c>
      <c r="L41" s="143" t="s">
        <v>79</v>
      </c>
      <c r="N41" s="144"/>
      <c r="P41" s="143"/>
      <c r="Q41" s="143"/>
      <c r="R41" s="143"/>
      <c r="S41" s="17">
        <f>K41+TIME(0,5,0)</f>
        <v>0.29861111111111105</v>
      </c>
      <c r="T41" s="14" t="s">
        <v>86</v>
      </c>
      <c r="U41" s="25" t="s">
        <v>118</v>
      </c>
    </row>
    <row r="42" spans="1:21" s="14" customFormat="1" ht="12" customHeight="1" x14ac:dyDescent="0.2">
      <c r="A42" s="139">
        <v>751</v>
      </c>
      <c r="B42" s="15">
        <v>1</v>
      </c>
      <c r="C42" s="15">
        <v>3</v>
      </c>
      <c r="D42" s="15" t="str">
        <f>CONCATENATE(A42," ",B42)</f>
        <v>751 1</v>
      </c>
      <c r="E42" s="16">
        <f>VLOOKUP(D42,Kilometrit!$C$4:$D$45,2,FALSE)</f>
        <v>21.7</v>
      </c>
      <c r="F42" s="137"/>
      <c r="G42" s="181">
        <v>0.30208333333333331</v>
      </c>
      <c r="H42" s="14" t="s">
        <v>85</v>
      </c>
      <c r="I42" s="17">
        <f>G42+TIME(0,3,0)</f>
        <v>0.30416666666666664</v>
      </c>
      <c r="J42" s="14" t="s">
        <v>56</v>
      </c>
      <c r="K42" s="24">
        <f>I42+TIME(0,4,0)</f>
        <v>0.30694444444444441</v>
      </c>
      <c r="L42" s="14" t="s">
        <v>79</v>
      </c>
      <c r="M42" s="17">
        <f>K42+TIME(0,8,0)</f>
        <v>0.31249999999999994</v>
      </c>
      <c r="N42" s="14" t="s">
        <v>84</v>
      </c>
      <c r="Q42" s="17">
        <f>M42+TIME(0,10,0)</f>
        <v>0.31944444444444436</v>
      </c>
      <c r="R42" s="14" t="s">
        <v>58</v>
      </c>
      <c r="S42" s="24">
        <f>Q42+TIME(0,3,0)</f>
        <v>0.32152777777777769</v>
      </c>
      <c r="T42" s="14" t="s">
        <v>128</v>
      </c>
      <c r="U42" s="25" t="s">
        <v>148</v>
      </c>
    </row>
    <row r="43" spans="1:21" s="14" customFormat="1" ht="12" customHeight="1" x14ac:dyDescent="0.2">
      <c r="A43" s="139" t="s">
        <v>129</v>
      </c>
      <c r="B43" s="15">
        <v>0</v>
      </c>
      <c r="C43" s="15">
        <v>3</v>
      </c>
      <c r="D43" s="15" t="str">
        <f>CONCATENATE(A43," ",B43)</f>
        <v>S1 0</v>
      </c>
      <c r="E43" s="16">
        <f>VLOOKUP(D43,Kilometrit!$C$4:$D$45,2,FALSE)</f>
        <v>0.9</v>
      </c>
      <c r="F43" s="137"/>
      <c r="G43" s="181">
        <v>0.3215277777777778</v>
      </c>
      <c r="H43" s="14" t="s">
        <v>128</v>
      </c>
      <c r="I43" s="17"/>
      <c r="K43" s="24"/>
      <c r="M43" s="17"/>
      <c r="Q43" s="17"/>
      <c r="S43" s="24">
        <f>G43+TIME(0,3,0)</f>
        <v>0.32361111111111113</v>
      </c>
      <c r="T43" s="14" t="s">
        <v>58</v>
      </c>
    </row>
    <row r="44" spans="1:21" s="14" customFormat="1" ht="12" customHeight="1" x14ac:dyDescent="0.2">
      <c r="A44" s="14">
        <v>610</v>
      </c>
      <c r="B44" s="15">
        <v>1</v>
      </c>
      <c r="C44" s="15">
        <v>3</v>
      </c>
      <c r="D44" s="15" t="str">
        <f>CONCATENATE(A44," ",B44)</f>
        <v>610 1</v>
      </c>
      <c r="E44" s="16">
        <f>VLOOKUP(D44,Kilometrit!$C$4:$D$48,2,FALSE)</f>
        <v>36.799999999999997</v>
      </c>
      <c r="F44" s="15"/>
      <c r="G44" s="181">
        <v>0.33680555555555558</v>
      </c>
      <c r="H44" s="14" t="s">
        <v>58</v>
      </c>
      <c r="I44" s="24">
        <f>G44+TIME(0,10,0)</f>
        <v>0.34375</v>
      </c>
      <c r="J44" s="14" t="s">
        <v>57</v>
      </c>
      <c r="K44" s="24">
        <f>I44+TIME(0,20,0)</f>
        <v>0.3576388888888889</v>
      </c>
      <c r="L44" s="14" t="s">
        <v>29</v>
      </c>
      <c r="S44" s="24">
        <f>K44+TIME(0,20,0)</f>
        <v>0.37152777777777779</v>
      </c>
      <c r="T44" s="14" t="s">
        <v>31</v>
      </c>
    </row>
    <row r="45" spans="1:21" s="14" customFormat="1" ht="12" customHeight="1" x14ac:dyDescent="0.25">
      <c r="A45" s="14">
        <v>700</v>
      </c>
      <c r="B45" s="15">
        <v>1</v>
      </c>
      <c r="C45" s="15">
        <v>3</v>
      </c>
      <c r="D45" s="15" t="str">
        <f>CONCATENATE(A45," ",B45)</f>
        <v>700 1</v>
      </c>
      <c r="E45" s="16">
        <f>VLOOKUP(D45,Kilometrit!$C$4:$D$48,2,FALSE)</f>
        <v>33.1</v>
      </c>
      <c r="F45" s="15"/>
      <c r="G45" s="181">
        <v>0.38194444444444442</v>
      </c>
      <c r="H45" s="14" t="s">
        <v>31</v>
      </c>
      <c r="I45" s="24">
        <f>G45+TIME(0,4,0)</f>
        <v>0.38472222222222219</v>
      </c>
      <c r="J45" s="14" t="s">
        <v>30</v>
      </c>
      <c r="K45" s="24">
        <f>I45+TIME(0,18,0)</f>
        <v>0.3972222222222222</v>
      </c>
      <c r="L45" s="14" t="s">
        <v>54</v>
      </c>
      <c r="S45" s="24">
        <f>K45+TIME(0,20,0)</f>
        <v>0.41111111111111109</v>
      </c>
      <c r="T45" s="87" t="s">
        <v>58</v>
      </c>
      <c r="U45" s="31"/>
    </row>
    <row r="46" spans="1:21" s="14" customFormat="1" ht="12" customHeight="1" x14ac:dyDescent="0.25">
      <c r="B46" s="15"/>
      <c r="C46" s="15"/>
      <c r="D46" s="15"/>
      <c r="E46" s="16"/>
      <c r="F46" s="15"/>
      <c r="G46" s="181"/>
      <c r="T46" s="87"/>
      <c r="U46" s="23"/>
    </row>
    <row r="47" spans="1:21" s="14" customFormat="1" ht="12" customHeight="1" x14ac:dyDescent="0.2">
      <c r="A47" s="14">
        <v>601</v>
      </c>
      <c r="B47" s="15">
        <v>0</v>
      </c>
      <c r="C47" s="15">
        <v>3</v>
      </c>
      <c r="D47" s="15" t="str">
        <f t="shared" ref="D47:D52" si="4">CONCATENATE(A47," ",B47)</f>
        <v>601 0</v>
      </c>
      <c r="E47" s="16">
        <f>VLOOKUP(D47,Kilometrit!$C$4:$D$48,2,FALSE)</f>
        <v>47.6</v>
      </c>
      <c r="F47" s="15"/>
      <c r="G47" s="181">
        <v>0.55555555555555558</v>
      </c>
      <c r="H47" s="166" t="s">
        <v>133</v>
      </c>
      <c r="I47" s="17">
        <v>0.55694444444444446</v>
      </c>
      <c r="J47" s="14" t="s">
        <v>58</v>
      </c>
      <c r="K47" s="24">
        <f>I47+TIME(0,8,0)</f>
        <v>0.5625</v>
      </c>
      <c r="L47" s="14" t="s">
        <v>55</v>
      </c>
      <c r="M47" s="14" t="s">
        <v>99</v>
      </c>
      <c r="N47" s="14" t="s">
        <v>79</v>
      </c>
      <c r="O47" s="24">
        <f>K47+TIME(0,10,0)</f>
        <v>0.56944444444444442</v>
      </c>
      <c r="P47" s="14" t="s">
        <v>56</v>
      </c>
      <c r="Q47" s="14" t="s">
        <v>99</v>
      </c>
      <c r="R47" s="14" t="s">
        <v>102</v>
      </c>
      <c r="S47" s="24">
        <f>O47+TIME(0,30,0)</f>
        <v>0.59027777777777779</v>
      </c>
      <c r="T47" s="87" t="s">
        <v>31</v>
      </c>
      <c r="U47" s="25"/>
    </row>
    <row r="48" spans="1:21" s="14" customFormat="1" ht="12" customHeight="1" x14ac:dyDescent="0.25">
      <c r="A48" s="14">
        <v>610</v>
      </c>
      <c r="B48" s="15">
        <v>1</v>
      </c>
      <c r="C48" s="15">
        <v>3</v>
      </c>
      <c r="D48" s="15" t="str">
        <f t="shared" si="4"/>
        <v>610 1</v>
      </c>
      <c r="E48" s="16">
        <f>VLOOKUP(D48,Kilometrit!$C$4:$D$48,2,FALSE)</f>
        <v>36.799999999999997</v>
      </c>
      <c r="F48" s="15"/>
      <c r="G48" s="181">
        <v>0.59375</v>
      </c>
      <c r="H48" s="14" t="s">
        <v>31</v>
      </c>
      <c r="I48" s="24">
        <f>G48+TIME(0,20,0)</f>
        <v>0.60763888888888884</v>
      </c>
      <c r="J48" s="14" t="s">
        <v>29</v>
      </c>
      <c r="K48" s="24">
        <f>I48+TIME(0,20,0)</f>
        <v>0.62152777777777768</v>
      </c>
      <c r="L48" s="14" t="s">
        <v>57</v>
      </c>
      <c r="S48" s="188">
        <f>K48+TIME(0,12,0)</f>
        <v>0.62986111111111098</v>
      </c>
      <c r="T48" s="87" t="s">
        <v>128</v>
      </c>
      <c r="U48" s="23"/>
    </row>
    <row r="49" spans="1:22" s="14" customFormat="1" ht="12" customHeight="1" x14ac:dyDescent="0.2">
      <c r="A49" s="139" t="s">
        <v>122</v>
      </c>
      <c r="B49" s="15">
        <v>0</v>
      </c>
      <c r="C49" s="15">
        <v>3</v>
      </c>
      <c r="D49" s="15" t="str">
        <f t="shared" si="4"/>
        <v>751C 0</v>
      </c>
      <c r="E49" s="16">
        <f>VLOOKUP(D49,Kilometrit!$C$4:$D$45,2,FALSE)</f>
        <v>22.5</v>
      </c>
      <c r="F49" s="137"/>
      <c r="G49" s="181">
        <v>0.63194444444444442</v>
      </c>
      <c r="H49" s="14" t="s">
        <v>125</v>
      </c>
      <c r="I49" s="17">
        <f>G49+TIME(0,2,0)</f>
        <v>0.6333333333333333</v>
      </c>
      <c r="J49" s="14" t="s">
        <v>58</v>
      </c>
      <c r="K49" s="17">
        <f>G49+TIME(0,10,)</f>
        <v>0.63888888888888884</v>
      </c>
      <c r="L49" s="14" t="s">
        <v>84</v>
      </c>
      <c r="M49" s="17">
        <f>K49+TIME(0,6,0)</f>
        <v>0.64305555555555549</v>
      </c>
      <c r="N49" s="14" t="s">
        <v>79</v>
      </c>
      <c r="S49" s="17">
        <f>M49+TIME(0,5,0)</f>
        <v>0.6465277777777777</v>
      </c>
      <c r="T49" s="14" t="s">
        <v>86</v>
      </c>
      <c r="U49" s="25"/>
    </row>
    <row r="50" spans="1:22" s="14" customFormat="1" ht="12" customHeight="1" x14ac:dyDescent="0.2">
      <c r="A50" s="14">
        <v>751</v>
      </c>
      <c r="B50" s="15">
        <v>1</v>
      </c>
      <c r="C50" s="15">
        <v>3</v>
      </c>
      <c r="D50" s="15" t="str">
        <f t="shared" si="4"/>
        <v>751 1</v>
      </c>
      <c r="E50" s="16">
        <f>VLOOKUP(D50,Kilometrit!$C$4:$D$45,2,FALSE)</f>
        <v>21.7</v>
      </c>
      <c r="F50" s="137"/>
      <c r="G50" s="181">
        <f>S49+TIME(0,0,0)</f>
        <v>0.6465277777777777</v>
      </c>
      <c r="H50" s="14" t="s">
        <v>85</v>
      </c>
      <c r="I50" s="17">
        <f>G50+TIME(0,3,0)</f>
        <v>0.64861111111111103</v>
      </c>
      <c r="J50" s="14" t="s">
        <v>56</v>
      </c>
      <c r="K50" s="138">
        <f>I50+TIME(0,4,0)</f>
        <v>0.6513888888888888</v>
      </c>
      <c r="L50" s="25" t="s">
        <v>79</v>
      </c>
      <c r="M50" s="138">
        <f>K50+TIME(0,3,0)</f>
        <v>0.65347222222222212</v>
      </c>
      <c r="N50" s="25" t="s">
        <v>79</v>
      </c>
      <c r="O50" s="17">
        <f>M50+TIME(0,6,0)</f>
        <v>0.65763888888888877</v>
      </c>
      <c r="P50" s="14" t="s">
        <v>84</v>
      </c>
      <c r="S50" s="17">
        <f>O50+TIME(0,10,0)</f>
        <v>0.66458333333333319</v>
      </c>
      <c r="T50" s="14" t="s">
        <v>58</v>
      </c>
      <c r="U50" s="25" t="s">
        <v>148</v>
      </c>
    </row>
    <row r="51" spans="1:22" s="14" customFormat="1" ht="12" customHeight="1" x14ac:dyDescent="0.2">
      <c r="A51" s="14">
        <v>751</v>
      </c>
      <c r="B51" s="15">
        <v>0</v>
      </c>
      <c r="C51" s="15">
        <v>3</v>
      </c>
      <c r="D51" s="15" t="str">
        <f t="shared" si="4"/>
        <v>751 0</v>
      </c>
      <c r="E51" s="16">
        <f>VLOOKUP(D51,Kilometrit!$C$4:$D$45,2,FALSE)</f>
        <v>21.7</v>
      </c>
      <c r="F51" s="137"/>
      <c r="G51" s="181">
        <v>0.68055555555555547</v>
      </c>
      <c r="H51" s="14" t="s">
        <v>58</v>
      </c>
      <c r="I51" s="17">
        <f>G51+TIME(0,8,)</f>
        <v>0.68611111111111101</v>
      </c>
      <c r="J51" s="14" t="s">
        <v>84</v>
      </c>
      <c r="K51" s="140">
        <f>I51+TIME(0,6,0)</f>
        <v>0.69027777777777766</v>
      </c>
      <c r="L51" s="25" t="s">
        <v>79</v>
      </c>
      <c r="M51" s="138">
        <f>K51+TIME(0,2,0)</f>
        <v>0.69166666666666654</v>
      </c>
      <c r="N51" s="25" t="s">
        <v>79</v>
      </c>
      <c r="O51" s="139"/>
      <c r="S51" s="17">
        <f>M51+TIME(0,5,0)</f>
        <v>0.69513888888888875</v>
      </c>
      <c r="T51" s="14" t="s">
        <v>86</v>
      </c>
      <c r="U51" s="25" t="s">
        <v>126</v>
      </c>
    </row>
    <row r="52" spans="1:22" s="14" customFormat="1" ht="12" customHeight="1" x14ac:dyDescent="0.25">
      <c r="A52" s="14">
        <v>751</v>
      </c>
      <c r="B52" s="15">
        <v>1</v>
      </c>
      <c r="C52" s="15">
        <v>3</v>
      </c>
      <c r="D52" s="15" t="str">
        <f t="shared" si="4"/>
        <v>751 1</v>
      </c>
      <c r="E52" s="16">
        <f>VLOOKUP(D52,Kilometrit!$C$4:$D$45,2,FALSE)</f>
        <v>21.7</v>
      </c>
      <c r="F52" s="137"/>
      <c r="G52" s="181">
        <f>S51+TIME(0,2,0)</f>
        <v>0.69652777777777763</v>
      </c>
      <c r="H52" s="14" t="s">
        <v>85</v>
      </c>
      <c r="I52" s="17">
        <f>G52+TIME(0,2,0)</f>
        <v>0.69791666666666652</v>
      </c>
      <c r="J52" s="14" t="s">
        <v>56</v>
      </c>
      <c r="K52" s="24">
        <f>I52+TIME(0,3,0)</f>
        <v>0.69999999999999984</v>
      </c>
      <c r="L52" s="14" t="s">
        <v>79</v>
      </c>
      <c r="M52" s="17">
        <f>K52+TIME(0,5,0)</f>
        <v>0.70347222222222205</v>
      </c>
      <c r="N52" s="14" t="s">
        <v>84</v>
      </c>
      <c r="O52" s="23"/>
      <c r="P52" s="23"/>
      <c r="S52" s="17">
        <f>M52+TIME(0,8,0)</f>
        <v>0.70902777777777759</v>
      </c>
      <c r="T52" s="14" t="s">
        <v>58</v>
      </c>
    </row>
    <row r="53" spans="1:22" s="14" customFormat="1" ht="12" customHeight="1" x14ac:dyDescent="0.25">
      <c r="B53" s="15"/>
      <c r="C53" s="15"/>
      <c r="D53" s="15"/>
      <c r="E53" s="16"/>
      <c r="F53" s="15"/>
      <c r="G53" s="187"/>
      <c r="H53" s="15"/>
      <c r="I53" s="139"/>
      <c r="U53" s="23"/>
    </row>
    <row r="54" spans="1:22" s="14" customFormat="1" ht="12" customHeight="1" x14ac:dyDescent="0.2">
      <c r="G54" s="87"/>
      <c r="U54" s="25"/>
    </row>
    <row r="55" spans="1:22" s="23" customFormat="1" ht="15" x14ac:dyDescent="0.25">
      <c r="A55" s="14">
        <v>751</v>
      </c>
      <c r="B55" s="15">
        <v>0</v>
      </c>
      <c r="C55" s="15">
        <v>4</v>
      </c>
      <c r="D55" s="15" t="str">
        <f>CONCATENATE(A55," ",B55)</f>
        <v>751 0</v>
      </c>
      <c r="E55" s="16">
        <f>VLOOKUP(D55,Kilometrit!$C$4:$D$52,2,FALSE)</f>
        <v>21.7</v>
      </c>
      <c r="F55" s="15"/>
      <c r="G55" s="181">
        <v>0.32291666666666669</v>
      </c>
      <c r="H55" s="14" t="s">
        <v>46</v>
      </c>
      <c r="I55" s="17">
        <f>G55+TIME(0,8,0)</f>
        <v>0.32847222222222222</v>
      </c>
      <c r="J55" s="14" t="s">
        <v>84</v>
      </c>
      <c r="K55" s="24">
        <f>I55+TIME(0,7,0)</f>
        <v>0.33333333333333331</v>
      </c>
      <c r="L55" s="14" t="s">
        <v>79</v>
      </c>
      <c r="O55" s="14"/>
      <c r="P55" s="14"/>
      <c r="S55" s="17">
        <f>K55+TIME(0,5,0)</f>
        <v>0.33680555555555552</v>
      </c>
      <c r="T55" s="14" t="s">
        <v>86</v>
      </c>
    </row>
    <row r="56" spans="1:22" s="23" customFormat="1" ht="15" x14ac:dyDescent="0.25">
      <c r="A56" s="14">
        <v>751</v>
      </c>
      <c r="B56" s="15">
        <v>1</v>
      </c>
      <c r="C56" s="15">
        <v>4</v>
      </c>
      <c r="D56" s="15" t="str">
        <f>CONCATENATE(A56," ",B56)</f>
        <v>751 1</v>
      </c>
      <c r="E56" s="16">
        <f>VLOOKUP(D56,Kilometrit!$C$4:$D$52,2,FALSE)</f>
        <v>21.7</v>
      </c>
      <c r="F56" s="15"/>
      <c r="G56" s="181">
        <f>S55+TIME(0,3,0)</f>
        <v>0.33888888888888885</v>
      </c>
      <c r="H56" s="14" t="s">
        <v>85</v>
      </c>
      <c r="I56" s="17">
        <f>G56+TIME(0,3,0)</f>
        <v>0.34097222222222218</v>
      </c>
      <c r="J56" s="14" t="s">
        <v>56</v>
      </c>
      <c r="K56" s="138">
        <f>I56+TIME(0,4,0)</f>
        <v>0.34374999999999994</v>
      </c>
      <c r="L56" s="25" t="s">
        <v>79</v>
      </c>
      <c r="M56" s="138">
        <f>K56+TIME(0,2,0)</f>
        <v>0.34513888888888883</v>
      </c>
      <c r="N56" s="25" t="s">
        <v>79</v>
      </c>
      <c r="O56" s="17">
        <f>M56+TIME(0,6,0)</f>
        <v>0.34930555555555548</v>
      </c>
      <c r="P56" s="14" t="s">
        <v>84</v>
      </c>
      <c r="Q56" s="17">
        <f>O56+TIME(0,13,0)</f>
        <v>0.35833333333333328</v>
      </c>
      <c r="R56" s="14" t="s">
        <v>58</v>
      </c>
      <c r="S56" s="17">
        <f>Q56+TIME(0,3,0)</f>
        <v>0.36041666666666661</v>
      </c>
      <c r="T56" s="14" t="s">
        <v>87</v>
      </c>
      <c r="U56" s="25" t="s">
        <v>148</v>
      </c>
    </row>
    <row r="58" spans="1:22" ht="12" customHeight="1" x14ac:dyDescent="0.2">
      <c r="B58" s="4"/>
      <c r="C58" s="4"/>
      <c r="D58" s="15"/>
      <c r="E58" s="16"/>
      <c r="F58" s="4"/>
      <c r="G58" s="4"/>
      <c r="H58" s="4"/>
      <c r="I58" s="4"/>
      <c r="U58" s="4"/>
    </row>
    <row r="59" spans="1:22" ht="12" customHeight="1" x14ac:dyDescent="0.2">
      <c r="B59" s="4"/>
      <c r="C59" s="4"/>
      <c r="D59" s="15" t="str">
        <f t="shared" ref="D59:D60" si="5">CONCATENATE(A58," ",B58)</f>
        <v xml:space="preserve"> </v>
      </c>
      <c r="E59" s="16"/>
      <c r="F59" s="4"/>
      <c r="G59" s="4"/>
      <c r="H59" s="4"/>
      <c r="I59" s="4"/>
      <c r="U59" s="58"/>
    </row>
    <row r="60" spans="1:22" ht="12" customHeight="1" x14ac:dyDescent="0.2">
      <c r="A60" s="14"/>
      <c r="D60" s="15" t="str">
        <f t="shared" si="5"/>
        <v xml:space="preserve"> </v>
      </c>
      <c r="E60" s="16"/>
      <c r="F60" s="4"/>
      <c r="G60" s="4"/>
      <c r="H60" s="4"/>
      <c r="I60" s="4"/>
      <c r="S60" s="13"/>
      <c r="U60" s="4"/>
    </row>
    <row r="61" spans="1:22" ht="12" customHeight="1" x14ac:dyDescent="0.2">
      <c r="A61" s="14"/>
      <c r="E61" s="16"/>
      <c r="I61" s="11"/>
      <c r="S61" s="13"/>
      <c r="U61" s="4"/>
    </row>
    <row r="62" spans="1:22" ht="12" customHeight="1" x14ac:dyDescent="0.2">
      <c r="A62" s="14"/>
      <c r="E62" s="16"/>
      <c r="I62" s="11"/>
      <c r="S62" s="13"/>
      <c r="U62" s="4"/>
    </row>
    <row r="63" spans="1:22" ht="12" customHeight="1" x14ac:dyDescent="0.2">
      <c r="B63" s="4"/>
      <c r="C63" s="4"/>
      <c r="E63" s="16"/>
      <c r="I63" s="11"/>
      <c r="U63" s="4"/>
    </row>
    <row r="64" spans="1:22" ht="12" customHeight="1" x14ac:dyDescent="0.2">
      <c r="B64" s="4"/>
      <c r="C64" s="4"/>
      <c r="D64" s="4"/>
      <c r="E64" s="4"/>
      <c r="F64" s="4"/>
      <c r="G64" s="4"/>
      <c r="H64" s="4"/>
      <c r="I64" s="4"/>
      <c r="U64" s="10"/>
      <c r="V64" s="82"/>
    </row>
    <row r="65" spans="1:21" ht="12" customHeight="1" x14ac:dyDescent="0.2">
      <c r="A65" s="14"/>
      <c r="D65" s="4"/>
      <c r="E65" s="4"/>
      <c r="F65" s="4"/>
      <c r="G65" s="4"/>
      <c r="H65" s="4"/>
      <c r="I65" s="4"/>
      <c r="S65" s="13"/>
      <c r="U65" s="4"/>
    </row>
    <row r="66" spans="1:21" ht="12" customHeight="1" x14ac:dyDescent="0.2">
      <c r="A66" s="14"/>
      <c r="E66" s="16"/>
      <c r="I66" s="11"/>
      <c r="S66" s="13"/>
      <c r="U66" s="4"/>
    </row>
    <row r="67" spans="1:21" ht="12" customHeight="1" x14ac:dyDescent="0.2">
      <c r="A67" s="14"/>
      <c r="E67" s="16"/>
      <c r="I67" s="11"/>
      <c r="S67" s="13"/>
      <c r="U67" s="4"/>
    </row>
    <row r="68" spans="1:21" ht="12" customHeight="1" x14ac:dyDescent="0.2">
      <c r="E68" s="16"/>
      <c r="I68" s="11"/>
      <c r="U68" s="4"/>
    </row>
    <row r="69" spans="1:21" ht="12" customHeight="1" x14ac:dyDescent="0.2">
      <c r="U69" s="4"/>
    </row>
    <row r="70" spans="1:21" ht="12" customHeight="1" x14ac:dyDescent="0.2">
      <c r="U70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8C96A0-5EE0-4754-9A27-44BB766D506C}">
  <sheetPr>
    <tabColor theme="4" tint="0.79998168889431442"/>
  </sheetPr>
  <dimension ref="A1:T68"/>
  <sheetViews>
    <sheetView workbookViewId="0">
      <pane ySplit="11" topLeftCell="A12" activePane="bottomLeft" state="frozen"/>
      <selection pane="bottomLeft"/>
    </sheetView>
  </sheetViews>
  <sheetFormatPr defaultColWidth="9.140625" defaultRowHeight="12" customHeight="1" x14ac:dyDescent="0.2"/>
  <cols>
    <col min="1" max="1" width="9.140625" style="95"/>
    <col min="2" max="2" width="6.42578125" style="1" customWidth="1"/>
    <col min="3" max="4" width="9.140625" style="1"/>
    <col min="5" max="5" width="10.140625" style="6" customWidth="1"/>
    <col min="6" max="8" width="9.140625" style="1"/>
    <col min="9" max="9" width="9" style="10" customWidth="1"/>
    <col min="10" max="10" width="17.85546875" style="95" customWidth="1"/>
    <col min="11" max="11" width="7.42578125" style="95" customWidth="1"/>
    <col min="12" max="12" width="17.42578125" style="95" customWidth="1"/>
    <col min="13" max="13" width="7.5703125" style="95" customWidth="1"/>
    <col min="14" max="14" width="12.140625" style="95" customWidth="1"/>
    <col min="15" max="15" width="8.140625" style="95" customWidth="1"/>
    <col min="16" max="16" width="10.140625" style="95" customWidth="1"/>
    <col min="17" max="17" width="8" style="95" customWidth="1"/>
    <col min="18" max="18" width="11.85546875" style="95" customWidth="1"/>
    <col min="19" max="19" width="6.5703125" style="95" customWidth="1"/>
    <col min="20" max="20" width="16.42578125" style="95" customWidth="1"/>
    <col min="21" max="29" width="9.140625" style="95"/>
    <col min="30" max="30" width="16" style="95" customWidth="1"/>
    <col min="31" max="31" width="9.140625" style="95"/>
    <col min="32" max="32" width="9.42578125" style="95" bestFit="1" customWidth="1"/>
    <col min="33" max="16384" width="9.140625" style="95"/>
  </cols>
  <sheetData>
    <row r="1" spans="1:20" s="176" customFormat="1" ht="14.45" customHeight="1" x14ac:dyDescent="0.25">
      <c r="A1" s="176" t="s">
        <v>186</v>
      </c>
      <c r="B1" s="177"/>
      <c r="C1" s="177"/>
      <c r="D1" s="178"/>
      <c r="F1" s="26"/>
      <c r="G1" s="26"/>
      <c r="H1" s="26"/>
    </row>
    <row r="2" spans="1:20" s="176" customFormat="1" ht="14.45" customHeight="1" x14ac:dyDescent="0.25">
      <c r="A2" s="176" t="s">
        <v>187</v>
      </c>
      <c r="B2" s="177"/>
      <c r="D2" s="178"/>
    </row>
    <row r="3" spans="1:20" ht="14.45" customHeight="1" x14ac:dyDescent="0.2"/>
    <row r="4" spans="1:20" ht="12" customHeight="1" x14ac:dyDescent="0.2">
      <c r="A4" s="95" t="s">
        <v>0</v>
      </c>
      <c r="C4" s="1" t="s">
        <v>22</v>
      </c>
      <c r="D4" s="1" t="s">
        <v>59</v>
      </c>
      <c r="E4" s="1" t="s">
        <v>65</v>
      </c>
      <c r="F4" s="1" t="s">
        <v>66</v>
      </c>
      <c r="I4" s="1"/>
      <c r="J4" s="1" t="s">
        <v>26</v>
      </c>
      <c r="K4" s="1"/>
      <c r="L4" s="141"/>
      <c r="M4" s="1"/>
      <c r="N4" s="1"/>
      <c r="O4" s="1"/>
      <c r="P4" s="1"/>
      <c r="Q4" s="1"/>
      <c r="R4" s="1"/>
      <c r="S4" s="1"/>
      <c r="T4" s="1"/>
    </row>
    <row r="5" spans="1:20" ht="12" customHeight="1" x14ac:dyDescent="0.2">
      <c r="A5" s="95" t="s">
        <v>1</v>
      </c>
      <c r="C5" s="7">
        <f>G13</f>
        <v>0.25</v>
      </c>
      <c r="D5" s="7">
        <f>G17</f>
        <v>0.50347222222222221</v>
      </c>
      <c r="E5" s="7">
        <f>G28</f>
        <v>0.28125</v>
      </c>
      <c r="F5" s="7">
        <f>G34</f>
        <v>0.55208333333333337</v>
      </c>
      <c r="G5" s="7"/>
      <c r="H5" s="7"/>
      <c r="I5" s="7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ht="12" customHeight="1" x14ac:dyDescent="0.2">
      <c r="A6" s="95" t="s">
        <v>2</v>
      </c>
      <c r="C6" s="7">
        <f>S15</f>
        <v>0.37083333333333335</v>
      </c>
      <c r="D6" s="7">
        <f>S25</f>
        <v>0.8784722222222221</v>
      </c>
      <c r="E6" s="7">
        <f>S32</f>
        <v>0.49652777777777773</v>
      </c>
      <c r="F6" s="7">
        <f>S37</f>
        <v>0.7006944444444444</v>
      </c>
      <c r="G6" s="7"/>
      <c r="H6" s="7"/>
      <c r="I6" s="7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ht="12" customHeight="1" x14ac:dyDescent="0.2">
      <c r="A7" s="95" t="s">
        <v>3</v>
      </c>
      <c r="C7" s="7">
        <f>C6-C5</f>
        <v>0.12083333333333335</v>
      </c>
      <c r="D7" s="7">
        <f>D6-D5</f>
        <v>0.37499999999999989</v>
      </c>
      <c r="E7" s="7">
        <f>E6-E5</f>
        <v>0.21527777777777773</v>
      </c>
      <c r="F7" s="7">
        <f>F6-F5</f>
        <v>0.14861111111111103</v>
      </c>
      <c r="G7" s="7"/>
      <c r="H7" s="7"/>
      <c r="I7" s="7"/>
      <c r="J7" s="8">
        <f>SUM(C7:I7)</f>
        <v>0.85972222222222205</v>
      </c>
      <c r="K7" s="95" t="s">
        <v>4</v>
      </c>
      <c r="L7" s="8"/>
      <c r="M7" s="8"/>
      <c r="N7" s="8"/>
      <c r="O7" s="8"/>
      <c r="P7" s="8"/>
      <c r="Q7" s="8"/>
      <c r="R7" s="8"/>
      <c r="S7" s="8"/>
      <c r="T7" s="8"/>
    </row>
    <row r="8" spans="1:20" ht="12" customHeight="1" x14ac:dyDescent="0.2">
      <c r="A8" s="95" t="s">
        <v>5</v>
      </c>
      <c r="C8" s="6">
        <f>SUM(E13:E15)</f>
        <v>98.9</v>
      </c>
      <c r="D8" s="6">
        <f>SUM(E17:E25)</f>
        <v>334.09999999999997</v>
      </c>
      <c r="E8" s="6">
        <f>SUM(E28:E32)</f>
        <v>184.89999999999998</v>
      </c>
      <c r="F8" s="6">
        <f>SUM(E34:E37)</f>
        <v>132</v>
      </c>
      <c r="G8" s="6"/>
      <c r="H8" s="6"/>
      <c r="I8" s="6"/>
      <c r="J8" s="6">
        <f>SUM(C8:I8)</f>
        <v>749.9</v>
      </c>
      <c r="K8" s="95" t="s">
        <v>6</v>
      </c>
      <c r="L8" s="6"/>
      <c r="M8" s="6"/>
      <c r="N8" s="6"/>
      <c r="O8" s="6"/>
      <c r="P8" s="6"/>
      <c r="Q8" s="6"/>
      <c r="R8" s="6"/>
      <c r="S8" s="6"/>
      <c r="T8" s="6"/>
    </row>
    <row r="9" spans="1:20" ht="12" customHeight="1" x14ac:dyDescent="0.2">
      <c r="A9" s="95" t="s">
        <v>7</v>
      </c>
      <c r="D9" s="9"/>
      <c r="E9" s="9"/>
      <c r="F9" s="10"/>
      <c r="G9" s="10"/>
      <c r="H9" s="10"/>
      <c r="I9" s="1"/>
      <c r="J9" s="1">
        <v>2</v>
      </c>
      <c r="K9" s="95" t="s">
        <v>8</v>
      </c>
      <c r="L9" s="1"/>
      <c r="M9" s="1"/>
      <c r="N9" s="1"/>
      <c r="O9" s="1"/>
      <c r="P9" s="1"/>
      <c r="Q9" s="1"/>
      <c r="R9" s="1"/>
      <c r="S9" s="1"/>
      <c r="T9" s="1"/>
    </row>
    <row r="10" spans="1:20" ht="12" customHeight="1" x14ac:dyDescent="0.2">
      <c r="D10" s="10"/>
      <c r="E10" s="95"/>
      <c r="I10" s="95"/>
      <c r="K10" s="58"/>
      <c r="L10" s="58"/>
      <c r="M10" s="58"/>
      <c r="N10" s="58"/>
      <c r="O10" s="58"/>
      <c r="P10" s="58"/>
      <c r="Q10" s="58"/>
      <c r="R10" s="58"/>
      <c r="S10" s="58"/>
      <c r="T10" s="58"/>
    </row>
    <row r="11" spans="1:20" ht="12" customHeight="1" x14ac:dyDescent="0.2">
      <c r="A11" s="95" t="s">
        <v>9</v>
      </c>
      <c r="B11" s="1" t="s">
        <v>10</v>
      </c>
      <c r="C11" s="1" t="s">
        <v>11</v>
      </c>
      <c r="E11" s="6" t="s">
        <v>12</v>
      </c>
      <c r="F11" s="1" t="s">
        <v>13</v>
      </c>
      <c r="G11" s="10" t="s">
        <v>14</v>
      </c>
      <c r="H11" s="95" t="s">
        <v>15</v>
      </c>
      <c r="I11" s="10" t="s">
        <v>14</v>
      </c>
      <c r="J11" s="95" t="s">
        <v>15</v>
      </c>
      <c r="K11" s="58" t="s">
        <v>18</v>
      </c>
      <c r="L11" s="58" t="s">
        <v>23</v>
      </c>
      <c r="M11" s="58" t="s">
        <v>18</v>
      </c>
      <c r="N11" s="58" t="s">
        <v>23</v>
      </c>
      <c r="O11" s="58" t="s">
        <v>18</v>
      </c>
      <c r="P11" s="58" t="s">
        <v>23</v>
      </c>
      <c r="Q11" s="58" t="s">
        <v>18</v>
      </c>
      <c r="R11" s="58" t="s">
        <v>23</v>
      </c>
      <c r="S11" s="58" t="s">
        <v>18</v>
      </c>
      <c r="T11" s="58" t="s">
        <v>23</v>
      </c>
    </row>
    <row r="12" spans="1:20" ht="12" customHeight="1" x14ac:dyDescent="0.2">
      <c r="G12" s="10"/>
      <c r="H12" s="95"/>
      <c r="K12" s="58"/>
      <c r="L12" s="58"/>
      <c r="M12" s="58"/>
      <c r="N12" s="58"/>
      <c r="O12" s="58"/>
      <c r="P12" s="58"/>
      <c r="Q12" s="58"/>
      <c r="R12" s="58"/>
      <c r="S12" s="58"/>
      <c r="T12" s="58"/>
    </row>
    <row r="13" spans="1:20" ht="12" customHeight="1" x14ac:dyDescent="0.2">
      <c r="A13" s="14">
        <v>700</v>
      </c>
      <c r="B13" s="15">
        <v>0</v>
      </c>
      <c r="C13" s="15">
        <v>1</v>
      </c>
      <c r="D13" s="15" t="str">
        <f>CONCATENATE(A13," ",B13)</f>
        <v>700 0</v>
      </c>
      <c r="E13" s="16">
        <f>VLOOKUP(D13,Kilometrit!$C$4:$D$48,2,FALSE)</f>
        <v>32.9</v>
      </c>
      <c r="F13" s="15"/>
      <c r="G13" s="181">
        <v>0.25</v>
      </c>
      <c r="H13" s="14" t="s">
        <v>46</v>
      </c>
      <c r="I13" s="24">
        <f>G13+TIME(0,15,0)</f>
        <v>0.26041666666666669</v>
      </c>
      <c r="J13" s="14" t="s">
        <v>54</v>
      </c>
      <c r="K13" s="24">
        <f>I13+TIME(0,18,0)</f>
        <v>0.2729166666666667</v>
      </c>
      <c r="L13" s="14" t="s">
        <v>30</v>
      </c>
      <c r="M13" s="14"/>
      <c r="N13" s="14"/>
      <c r="O13" s="14"/>
      <c r="P13" s="14"/>
      <c r="S13" s="24">
        <f>K13+TIME(0,4,0)</f>
        <v>0.27569444444444446</v>
      </c>
      <c r="T13" s="87" t="s">
        <v>31</v>
      </c>
    </row>
    <row r="14" spans="1:20" ht="12" customHeight="1" x14ac:dyDescent="0.2">
      <c r="A14" s="14">
        <v>700</v>
      </c>
      <c r="B14" s="1">
        <v>1</v>
      </c>
      <c r="C14" s="1">
        <v>1</v>
      </c>
      <c r="D14" s="1" t="str">
        <f>CONCATENATE(A14," ",B14)</f>
        <v>700 1</v>
      </c>
      <c r="E14" s="16">
        <f>VLOOKUP(D14,Kilometrit!$C$4:$D$48,2,FALSE)</f>
        <v>33.1</v>
      </c>
      <c r="G14" s="182">
        <v>0.2986111111111111</v>
      </c>
      <c r="H14" s="95" t="s">
        <v>31</v>
      </c>
      <c r="I14" s="12">
        <f>G14+TIME(0,4,0)</f>
        <v>0.30138888888888887</v>
      </c>
      <c r="J14" s="95" t="s">
        <v>30</v>
      </c>
      <c r="K14" s="12">
        <f>I14+TIME(0,18,0)</f>
        <v>0.31388888888888888</v>
      </c>
      <c r="L14" s="95" t="s">
        <v>54</v>
      </c>
      <c r="S14" s="12">
        <f>K14+TIME(0,24,0)</f>
        <v>0.33055555555555555</v>
      </c>
      <c r="T14" s="19" t="s">
        <v>46</v>
      </c>
    </row>
    <row r="15" spans="1:20" ht="12" customHeight="1" x14ac:dyDescent="0.2">
      <c r="A15" s="14">
        <v>700</v>
      </c>
      <c r="B15" s="15">
        <v>0</v>
      </c>
      <c r="C15" s="15">
        <v>1</v>
      </c>
      <c r="D15" s="15" t="str">
        <f>CONCATENATE(A15," ",B15)</f>
        <v>700 0</v>
      </c>
      <c r="E15" s="16">
        <f>VLOOKUP(D15,Kilometrit!$C$4:$D$48,2,FALSE)</f>
        <v>32.9</v>
      </c>
      <c r="F15" s="15"/>
      <c r="G15" s="181">
        <v>0.34375</v>
      </c>
      <c r="H15" s="14" t="s">
        <v>46</v>
      </c>
      <c r="I15" s="24">
        <f>G15+TIME(0,16,0)</f>
        <v>0.35486111111111113</v>
      </c>
      <c r="J15" s="14" t="s">
        <v>54</v>
      </c>
      <c r="K15" s="24">
        <f>I15+TIME(0,19,0)</f>
        <v>0.36805555555555558</v>
      </c>
      <c r="L15" s="14" t="s">
        <v>30</v>
      </c>
      <c r="M15" s="14"/>
      <c r="N15" s="14"/>
      <c r="O15" s="14"/>
      <c r="P15" s="14"/>
      <c r="S15" s="24">
        <f>K15+TIME(0,4,0)</f>
        <v>0.37083333333333335</v>
      </c>
      <c r="T15" s="87" t="s">
        <v>31</v>
      </c>
    </row>
    <row r="16" spans="1:20" ht="12" customHeight="1" x14ac:dyDescent="0.2">
      <c r="A16" s="14"/>
      <c r="B16" s="15"/>
      <c r="C16" s="15"/>
      <c r="D16" s="15"/>
      <c r="E16" s="16"/>
      <c r="F16" s="15"/>
      <c r="G16" s="181"/>
      <c r="H16" s="14"/>
      <c r="I16" s="41"/>
      <c r="J16" s="41"/>
      <c r="K16" s="14"/>
      <c r="L16" s="14"/>
      <c r="M16" s="14"/>
      <c r="N16" s="14"/>
      <c r="O16" s="14"/>
      <c r="P16" s="14"/>
      <c r="S16" s="12"/>
    </row>
    <row r="17" spans="1:20" ht="12" customHeight="1" x14ac:dyDescent="0.2">
      <c r="A17" s="14">
        <v>702</v>
      </c>
      <c r="B17" s="1">
        <v>1</v>
      </c>
      <c r="C17" s="15">
        <v>1</v>
      </c>
      <c r="D17" s="1" t="str">
        <f t="shared" ref="D17:D25" si="0">CONCATENATE(A17," ",B17)</f>
        <v>702 1</v>
      </c>
      <c r="E17" s="16">
        <f>VLOOKUP(D17,Kilometrit!$C$4:$D$48,2,FALSE)</f>
        <v>43.6</v>
      </c>
      <c r="G17" s="182">
        <v>0.50347222222222221</v>
      </c>
      <c r="H17" s="95" t="s">
        <v>31</v>
      </c>
      <c r="I17" s="12">
        <f>G17+TIME(0,4,0)</f>
        <v>0.50624999999999998</v>
      </c>
      <c r="J17" s="95" t="s">
        <v>30</v>
      </c>
      <c r="K17" s="12">
        <f>I17+TIME(0,18,0)</f>
        <v>0.51874999999999993</v>
      </c>
      <c r="L17" s="95" t="s">
        <v>54</v>
      </c>
      <c r="M17" s="12">
        <f>K17+TIME(0,18,0)</f>
        <v>0.53124999999999989</v>
      </c>
      <c r="N17" s="95" t="s">
        <v>58</v>
      </c>
      <c r="S17" s="12">
        <f>M17+TIME(0,10,0)</f>
        <v>0.53819444444444431</v>
      </c>
      <c r="T17" s="95" t="s">
        <v>62</v>
      </c>
    </row>
    <row r="18" spans="1:20" ht="12" customHeight="1" x14ac:dyDescent="0.2">
      <c r="A18" s="14">
        <v>702</v>
      </c>
      <c r="B18" s="1">
        <v>0</v>
      </c>
      <c r="C18" s="15">
        <v>1</v>
      </c>
      <c r="D18" s="1" t="str">
        <f t="shared" si="0"/>
        <v>702 0</v>
      </c>
      <c r="E18" s="16">
        <f>VLOOKUP(D18,Kilometrit!$C$4:$D$48,2,FALSE)</f>
        <v>43.3</v>
      </c>
      <c r="G18" s="181">
        <v>0.54166666666666663</v>
      </c>
      <c r="H18" s="89" t="s">
        <v>62</v>
      </c>
      <c r="I18" s="96">
        <f>G18+TIME(0,10,0)</f>
        <v>0.54861111111111105</v>
      </c>
      <c r="J18" s="95" t="s">
        <v>58</v>
      </c>
      <c r="K18" s="24">
        <f>I18+TIME(0,17,0)</f>
        <v>0.56041666666666656</v>
      </c>
      <c r="L18" s="14" t="s">
        <v>54</v>
      </c>
      <c r="M18" s="24">
        <f>K18+TIME(0,19,0)</f>
        <v>0.57361111111111096</v>
      </c>
      <c r="N18" s="14" t="s">
        <v>30</v>
      </c>
      <c r="S18" s="24">
        <f>M18+TIME(0,4,0)</f>
        <v>0.57638888888888873</v>
      </c>
      <c r="T18" s="87" t="s">
        <v>31</v>
      </c>
    </row>
    <row r="19" spans="1:20" ht="12" customHeight="1" x14ac:dyDescent="0.2">
      <c r="A19" s="14">
        <v>710</v>
      </c>
      <c r="B19" s="15">
        <v>1</v>
      </c>
      <c r="C19" s="15">
        <v>1</v>
      </c>
      <c r="D19" s="15" t="str">
        <f t="shared" si="0"/>
        <v>710 1</v>
      </c>
      <c r="E19" s="16">
        <f>VLOOKUP(D19,Kilometrit!$C$4:$D$48,2,FALSE)</f>
        <v>37</v>
      </c>
      <c r="F19" s="15"/>
      <c r="G19" s="181">
        <v>0.59722222222222221</v>
      </c>
      <c r="H19" s="14" t="s">
        <v>31</v>
      </c>
      <c r="I19" s="12">
        <f>G19+TIME(0,4,0)</f>
        <v>0.6</v>
      </c>
      <c r="J19" s="95" t="s">
        <v>30</v>
      </c>
      <c r="K19" s="12">
        <f>I19+TIME(0,18,0)</f>
        <v>0.61249999999999993</v>
      </c>
      <c r="L19" s="95" t="s">
        <v>54</v>
      </c>
      <c r="M19" s="24">
        <f>K19+TIME(0,11,0)</f>
        <v>0.6201388888888888</v>
      </c>
      <c r="N19" s="14" t="s">
        <v>63</v>
      </c>
      <c r="O19" s="24">
        <f>M19+TIME(0,7,0)</f>
        <v>0.62499999999999989</v>
      </c>
      <c r="P19" s="14" t="s">
        <v>64</v>
      </c>
      <c r="S19" s="24">
        <f>O19+TIME(0,5,0)</f>
        <v>0.6284722222222221</v>
      </c>
      <c r="T19" s="14" t="s">
        <v>58</v>
      </c>
    </row>
    <row r="20" spans="1:20" ht="12" customHeight="1" x14ac:dyDescent="0.2">
      <c r="A20" s="95">
        <v>700</v>
      </c>
      <c r="B20" s="1">
        <v>0</v>
      </c>
      <c r="C20" s="15">
        <v>1</v>
      </c>
      <c r="D20" s="1" t="str">
        <f t="shared" si="0"/>
        <v>700 0</v>
      </c>
      <c r="E20" s="16">
        <f>VLOOKUP(D20,Kilometrit!$C$4:$D$48,2,FALSE)</f>
        <v>32.9</v>
      </c>
      <c r="G20" s="182">
        <v>0.63194444444444442</v>
      </c>
      <c r="H20" s="14" t="s">
        <v>58</v>
      </c>
      <c r="I20" s="24">
        <f>G20+TIME(0,17,0)</f>
        <v>0.64374999999999993</v>
      </c>
      <c r="J20" s="14" t="s">
        <v>54</v>
      </c>
      <c r="K20" s="24">
        <f>I20+TIME(0,19,0)</f>
        <v>0.65694444444444433</v>
      </c>
      <c r="L20" s="14" t="s">
        <v>30</v>
      </c>
      <c r="M20" s="14"/>
      <c r="N20" s="14"/>
      <c r="O20" s="14"/>
      <c r="P20" s="14"/>
      <c r="S20" s="24">
        <f>K20+TIME(0,4,0)</f>
        <v>0.6597222222222221</v>
      </c>
      <c r="T20" s="87" t="s">
        <v>31</v>
      </c>
    </row>
    <row r="21" spans="1:20" ht="12" customHeight="1" x14ac:dyDescent="0.2">
      <c r="A21" s="14">
        <v>700</v>
      </c>
      <c r="B21" s="15">
        <v>1</v>
      </c>
      <c r="C21" s="15">
        <v>1</v>
      </c>
      <c r="D21" s="15" t="str">
        <f t="shared" si="0"/>
        <v>700 1</v>
      </c>
      <c r="E21" s="16">
        <f>VLOOKUP(D21,Kilometrit!$C$4:$D$48,2,FALSE)</f>
        <v>33.1</v>
      </c>
      <c r="F21" s="15"/>
      <c r="G21" s="181">
        <v>0.68055555555555547</v>
      </c>
      <c r="H21" s="95" t="s">
        <v>31</v>
      </c>
      <c r="I21" s="12">
        <f>G21+TIME(0,4,0)</f>
        <v>0.68333333333333324</v>
      </c>
      <c r="J21" s="95" t="s">
        <v>30</v>
      </c>
      <c r="K21" s="12">
        <f>I21+TIME(0,18,0)</f>
        <v>0.69583333333333319</v>
      </c>
      <c r="L21" s="95" t="s">
        <v>54</v>
      </c>
      <c r="S21" s="12">
        <f>K21+TIME(0,20,0)</f>
        <v>0.70972222222222203</v>
      </c>
      <c r="T21" s="19" t="s">
        <v>46</v>
      </c>
    </row>
    <row r="22" spans="1:20" ht="12" customHeight="1" x14ac:dyDescent="0.2">
      <c r="A22" s="95">
        <v>602</v>
      </c>
      <c r="B22" s="15">
        <v>0</v>
      </c>
      <c r="C22" s="15">
        <v>1</v>
      </c>
      <c r="D22" s="15" t="str">
        <f t="shared" si="0"/>
        <v>602 0</v>
      </c>
      <c r="E22" s="16">
        <f>VLOOKUP(D22,Kilometrit!$C$4:$D$48,2,FALSE)</f>
        <v>37.299999999999997</v>
      </c>
      <c r="F22" s="95"/>
      <c r="G22" s="183">
        <v>0.71527777777777779</v>
      </c>
      <c r="H22" s="95" t="s">
        <v>46</v>
      </c>
      <c r="I22" s="12">
        <f>G22+TIME(0,8,0)</f>
        <v>0.72083333333333333</v>
      </c>
      <c r="J22" s="95" t="s">
        <v>55</v>
      </c>
      <c r="K22" s="96" t="s">
        <v>99</v>
      </c>
      <c r="L22" s="95" t="s">
        <v>79</v>
      </c>
      <c r="M22" s="96">
        <f>I22+TIME(0,16,0)</f>
        <v>0.7319444444444444</v>
      </c>
      <c r="N22" s="95" t="s">
        <v>102</v>
      </c>
      <c r="S22" s="12">
        <f>M22+TIME(0,16,0)</f>
        <v>0.74305555555555547</v>
      </c>
      <c r="T22" s="19" t="s">
        <v>31</v>
      </c>
    </row>
    <row r="23" spans="1:20" ht="12" customHeight="1" x14ac:dyDescent="0.2">
      <c r="A23" s="95">
        <v>700</v>
      </c>
      <c r="B23" s="15">
        <v>1</v>
      </c>
      <c r="C23" s="15">
        <v>1</v>
      </c>
      <c r="D23" s="15" t="str">
        <f t="shared" si="0"/>
        <v>700 1</v>
      </c>
      <c r="E23" s="16">
        <f>VLOOKUP(D23,Kilometrit!$C$4:$D$48,2,FALSE)</f>
        <v>33.1</v>
      </c>
      <c r="F23" s="95"/>
      <c r="G23" s="183">
        <v>0.76388888888888884</v>
      </c>
      <c r="H23" s="95" t="s">
        <v>31</v>
      </c>
      <c r="I23" s="12">
        <f>G23+TIME(0,4,0)</f>
        <v>0.76666666666666661</v>
      </c>
      <c r="J23" s="95" t="s">
        <v>30</v>
      </c>
      <c r="K23" s="12">
        <f>I23+TIME(0,18,0)</f>
        <v>0.77916666666666656</v>
      </c>
      <c r="L23" s="95" t="s">
        <v>54</v>
      </c>
      <c r="Q23" s="14"/>
      <c r="R23" s="14"/>
      <c r="S23" s="12">
        <f>K23+TIME(0,18,0)</f>
        <v>0.79166666666666652</v>
      </c>
      <c r="T23" s="19" t="s">
        <v>46</v>
      </c>
    </row>
    <row r="24" spans="1:20" ht="12" customHeight="1" x14ac:dyDescent="0.2">
      <c r="A24" s="95">
        <v>700</v>
      </c>
      <c r="B24" s="15">
        <v>0</v>
      </c>
      <c r="C24" s="15">
        <v>1</v>
      </c>
      <c r="D24" s="15" t="str">
        <f t="shared" si="0"/>
        <v>700 0</v>
      </c>
      <c r="E24" s="16">
        <f>VLOOKUP(D24,Kilometrit!$C$4:$D$48,2,FALSE)</f>
        <v>32.9</v>
      </c>
      <c r="F24" s="95"/>
      <c r="G24" s="183">
        <v>0.79861111111111116</v>
      </c>
      <c r="H24" s="14" t="s">
        <v>46</v>
      </c>
      <c r="I24" s="24">
        <f>G24+TIME(0,17,0)</f>
        <v>0.81041666666666667</v>
      </c>
      <c r="J24" s="14" t="s">
        <v>54</v>
      </c>
      <c r="K24" s="24">
        <f>I24+TIME(0,19,0)</f>
        <v>0.82361111111111107</v>
      </c>
      <c r="L24" s="14" t="s">
        <v>30</v>
      </c>
      <c r="M24" s="14"/>
      <c r="N24" s="14"/>
      <c r="O24" s="14"/>
      <c r="P24" s="14"/>
      <c r="Q24" s="14"/>
      <c r="R24" s="14"/>
      <c r="S24" s="24">
        <f>K24+TIME(0,4,0)</f>
        <v>0.82638888888888884</v>
      </c>
      <c r="T24" s="87" t="s">
        <v>31</v>
      </c>
    </row>
    <row r="25" spans="1:20" ht="12" customHeight="1" x14ac:dyDescent="0.2">
      <c r="A25" s="14">
        <v>701</v>
      </c>
      <c r="B25" s="15">
        <v>1</v>
      </c>
      <c r="C25" s="15">
        <v>1</v>
      </c>
      <c r="D25" s="15" t="str">
        <f t="shared" si="0"/>
        <v>701 1</v>
      </c>
      <c r="E25" s="16">
        <f>VLOOKUP(D25,Kilometrit!$C$4:$D$48,2,FALSE)</f>
        <v>40.9</v>
      </c>
      <c r="F25" s="15"/>
      <c r="G25" s="181">
        <v>0.84722222222222221</v>
      </c>
      <c r="H25" s="95" t="s">
        <v>31</v>
      </c>
      <c r="I25" s="12">
        <f>G25+TIME(0,4,0)</f>
        <v>0.85</v>
      </c>
      <c r="J25" s="95" t="s">
        <v>30</v>
      </c>
      <c r="K25" s="12">
        <f>I25+TIME(0,17,0)</f>
        <v>0.86180555555555549</v>
      </c>
      <c r="L25" s="95" t="s">
        <v>54</v>
      </c>
      <c r="M25" s="12">
        <f>K25+TIME(0,15,0)</f>
        <v>0.87222222222222212</v>
      </c>
      <c r="N25" s="19" t="s">
        <v>46</v>
      </c>
      <c r="S25" s="12">
        <f>M25+TIME(0,9,0)</f>
        <v>0.8784722222222221</v>
      </c>
      <c r="T25" s="95" t="s">
        <v>55</v>
      </c>
    </row>
    <row r="26" spans="1:20" ht="12" customHeight="1" x14ac:dyDescent="0.2">
      <c r="A26" s="14"/>
      <c r="E26" s="16"/>
      <c r="G26" s="186"/>
      <c r="I26" s="96"/>
    </row>
    <row r="27" spans="1:20" s="14" customFormat="1" ht="12" customHeight="1" x14ac:dyDescent="0.2">
      <c r="B27" s="15"/>
      <c r="C27" s="15"/>
      <c r="D27" s="15"/>
      <c r="E27" s="16"/>
      <c r="F27" s="15"/>
      <c r="G27" s="187"/>
      <c r="H27" s="15"/>
      <c r="I27" s="17"/>
    </row>
    <row r="28" spans="1:20" ht="12" customHeight="1" x14ac:dyDescent="0.2">
      <c r="A28" s="14">
        <v>703</v>
      </c>
      <c r="B28" s="1">
        <v>1</v>
      </c>
      <c r="C28" s="1">
        <v>2</v>
      </c>
      <c r="D28" s="1" t="str">
        <f>CONCATENATE(A28," ",B28)</f>
        <v>703 1</v>
      </c>
      <c r="E28" s="16">
        <f>VLOOKUP(D28,Kilometrit!$C$4:$D$48,2,FALSE)</f>
        <v>48.5</v>
      </c>
      <c r="G28" s="182">
        <v>0.28125</v>
      </c>
      <c r="H28" s="89" t="s">
        <v>60</v>
      </c>
      <c r="I28" s="96">
        <f>G28+TIME(0,15,0)</f>
        <v>0.29166666666666669</v>
      </c>
      <c r="J28" s="95" t="s">
        <v>58</v>
      </c>
      <c r="K28" s="12">
        <f>I28+TIME(0,16,0)</f>
        <v>0.30277777777777781</v>
      </c>
      <c r="L28" s="95" t="s">
        <v>54</v>
      </c>
      <c r="M28" s="12">
        <f>K28+TIME(0,21,0)</f>
        <v>0.31736111111111115</v>
      </c>
      <c r="N28" s="14" t="s">
        <v>30</v>
      </c>
      <c r="O28" s="24">
        <f>M28+TIME(0,4,0)</f>
        <v>0.32013888888888892</v>
      </c>
      <c r="P28" s="87" t="s">
        <v>31</v>
      </c>
      <c r="Q28" s="12">
        <f>O28+TIME(0,7,0)</f>
        <v>0.32500000000000001</v>
      </c>
      <c r="R28" s="95" t="s">
        <v>41</v>
      </c>
      <c r="S28" s="13">
        <f>Q28+TIME(0,5,0)</f>
        <v>0.32847222222222222</v>
      </c>
      <c r="T28" s="95" t="s">
        <v>61</v>
      </c>
    </row>
    <row r="29" spans="1:20" ht="12" customHeight="1" x14ac:dyDescent="0.2">
      <c r="A29" s="14">
        <v>700</v>
      </c>
      <c r="B29" s="1">
        <v>1</v>
      </c>
      <c r="C29" s="1">
        <v>2</v>
      </c>
      <c r="D29" s="1" t="str">
        <f>CONCATENATE(A29," ",B29)</f>
        <v>700 1</v>
      </c>
      <c r="E29" s="16">
        <f>VLOOKUP(D29,Kilometrit!$C$4:$D$48,2,FALSE)</f>
        <v>33.1</v>
      </c>
      <c r="G29" s="182">
        <v>0.34027777777777773</v>
      </c>
      <c r="H29" s="95" t="s">
        <v>31</v>
      </c>
      <c r="I29" s="12">
        <f>G29+TIME(0,4,0)</f>
        <v>0.3430555555555555</v>
      </c>
      <c r="J29" s="95" t="s">
        <v>30</v>
      </c>
      <c r="K29" s="12">
        <f>I29+TIME(0,18,0)</f>
        <v>0.35555555555555551</v>
      </c>
      <c r="L29" s="95" t="s">
        <v>54</v>
      </c>
      <c r="S29" s="12">
        <f>K29+TIME(0,20,0)</f>
        <v>0.36944444444444441</v>
      </c>
      <c r="T29" s="19" t="s">
        <v>58</v>
      </c>
    </row>
    <row r="30" spans="1:20" ht="12" customHeight="1" x14ac:dyDescent="0.2">
      <c r="A30" s="14">
        <v>700</v>
      </c>
      <c r="B30" s="15">
        <v>0</v>
      </c>
      <c r="C30" s="1">
        <v>2</v>
      </c>
      <c r="D30" s="15" t="str">
        <f>CONCATENATE(A30," ",B30)</f>
        <v>700 0</v>
      </c>
      <c r="E30" s="16">
        <f>VLOOKUP(D30,Kilometrit!$C$4:$D$48,2,FALSE)</f>
        <v>32.9</v>
      </c>
      <c r="F30" s="15"/>
      <c r="G30" s="181">
        <v>0.375</v>
      </c>
      <c r="H30" s="14" t="s">
        <v>46</v>
      </c>
      <c r="I30" s="24">
        <f>G30+TIME(0,16,0)</f>
        <v>0.38611111111111113</v>
      </c>
      <c r="J30" s="14" t="s">
        <v>54</v>
      </c>
      <c r="K30" s="24">
        <f>I30+TIME(0,19,0)</f>
        <v>0.39930555555555558</v>
      </c>
      <c r="L30" s="14" t="s">
        <v>30</v>
      </c>
      <c r="M30" s="14"/>
      <c r="N30" s="14"/>
      <c r="O30" s="14"/>
      <c r="P30" s="14"/>
      <c r="S30" s="24">
        <f>K30+TIME(0,4,0)</f>
        <v>0.40208333333333335</v>
      </c>
      <c r="T30" s="87" t="s">
        <v>31</v>
      </c>
    </row>
    <row r="31" spans="1:20" ht="12" customHeight="1" x14ac:dyDescent="0.2">
      <c r="A31" s="95">
        <v>700</v>
      </c>
      <c r="B31" s="1">
        <v>1</v>
      </c>
      <c r="C31" s="1">
        <v>2</v>
      </c>
      <c r="D31" s="15" t="str">
        <f>CONCATENATE(A31," ",B31)</f>
        <v>700 1</v>
      </c>
      <c r="E31" s="16">
        <f>VLOOKUP(D31,Kilometrit!$C$4:$D$48,2,FALSE)</f>
        <v>33.1</v>
      </c>
      <c r="F31" s="95"/>
      <c r="G31" s="183">
        <v>0.4236111111111111</v>
      </c>
      <c r="H31" s="95" t="s">
        <v>31</v>
      </c>
      <c r="I31" s="12">
        <f>G31+TIME(0,3,0)</f>
        <v>0.42569444444444443</v>
      </c>
      <c r="J31" s="95" t="s">
        <v>30</v>
      </c>
      <c r="K31" s="12">
        <f>I31+TIME(0,18,0)</f>
        <v>0.43819444444444444</v>
      </c>
      <c r="L31" s="95" t="s">
        <v>54</v>
      </c>
      <c r="S31" s="12">
        <f>K31+TIME(0,19,0)</f>
        <v>0.4513888888888889</v>
      </c>
      <c r="T31" s="19" t="s">
        <v>46</v>
      </c>
    </row>
    <row r="32" spans="1:20" ht="12" customHeight="1" x14ac:dyDescent="0.2">
      <c r="A32" s="14">
        <v>602</v>
      </c>
      <c r="B32" s="1">
        <v>0</v>
      </c>
      <c r="C32" s="1">
        <v>2</v>
      </c>
      <c r="D32" s="15" t="str">
        <f>CONCATENATE(A32," ",B32)</f>
        <v>602 0</v>
      </c>
      <c r="E32" s="16">
        <f>VLOOKUP(D32,Kilometrit!$C$4:$D$48,2,FALSE)</f>
        <v>37.299999999999997</v>
      </c>
      <c r="F32" s="15"/>
      <c r="G32" s="181">
        <v>0.46527777777777773</v>
      </c>
      <c r="H32" s="95" t="s">
        <v>46</v>
      </c>
      <c r="I32" s="12">
        <f>G32+TIME(0,8,0)</f>
        <v>0.47083333333333327</v>
      </c>
      <c r="J32" s="95" t="s">
        <v>55</v>
      </c>
      <c r="K32" s="96" t="s">
        <v>99</v>
      </c>
      <c r="L32" s="95" t="s">
        <v>79</v>
      </c>
      <c r="M32" s="96">
        <f>I32+TIME(0,19,0)</f>
        <v>0.48402777777777772</v>
      </c>
      <c r="N32" s="95" t="s">
        <v>102</v>
      </c>
      <c r="S32" s="12">
        <f>M32+TIME(0,18,0)</f>
        <v>0.49652777777777773</v>
      </c>
      <c r="T32" s="19" t="s">
        <v>31</v>
      </c>
    </row>
    <row r="33" spans="1:20" ht="12" customHeight="1" x14ac:dyDescent="0.2">
      <c r="C33" s="15"/>
      <c r="E33" s="16"/>
      <c r="G33" s="182"/>
      <c r="H33" s="95"/>
      <c r="I33" s="95"/>
    </row>
    <row r="34" spans="1:20" ht="12" customHeight="1" x14ac:dyDescent="0.2">
      <c r="A34" s="14">
        <v>700</v>
      </c>
      <c r="B34" s="1">
        <v>0</v>
      </c>
      <c r="C34" s="1">
        <v>2</v>
      </c>
      <c r="D34" s="15" t="str">
        <f>CONCATENATE(A34," ",B34)</f>
        <v>700 0</v>
      </c>
      <c r="E34" s="16">
        <f>VLOOKUP(D34,Kilometrit!$C$4:$D$48,2,FALSE)</f>
        <v>32.9</v>
      </c>
      <c r="G34" s="182">
        <v>0.55208333333333337</v>
      </c>
      <c r="H34" s="95" t="s">
        <v>31</v>
      </c>
      <c r="I34" s="12">
        <f>G34+TIME(0,4,0)</f>
        <v>0.55486111111111114</v>
      </c>
      <c r="J34" s="95" t="s">
        <v>30</v>
      </c>
      <c r="K34" s="12">
        <f>I34+TIME(0,18,0)</f>
        <v>0.56736111111111109</v>
      </c>
      <c r="L34" s="95" t="s">
        <v>54</v>
      </c>
      <c r="S34" s="12">
        <f>K34+TIME(0,19,0)</f>
        <v>0.58055555555555549</v>
      </c>
      <c r="T34" s="19" t="s">
        <v>58</v>
      </c>
    </row>
    <row r="35" spans="1:20" ht="12" customHeight="1" x14ac:dyDescent="0.2">
      <c r="A35" s="14">
        <v>700</v>
      </c>
      <c r="B35" s="1">
        <v>1</v>
      </c>
      <c r="C35" s="1">
        <v>2</v>
      </c>
      <c r="D35" s="15" t="str">
        <f>CONCATENATE(A35," ",B35)</f>
        <v>700 1</v>
      </c>
      <c r="E35" s="16">
        <f>VLOOKUP(D35,Kilometrit!$C$4:$D$48,2,FALSE)</f>
        <v>33.1</v>
      </c>
      <c r="G35" s="183">
        <v>0.59027777777777779</v>
      </c>
      <c r="H35" s="14" t="s">
        <v>46</v>
      </c>
      <c r="I35" s="24">
        <f>G35+TIME(0,17,0)</f>
        <v>0.6020833333333333</v>
      </c>
      <c r="J35" s="14" t="s">
        <v>54</v>
      </c>
      <c r="K35" s="24">
        <f>I35+TIME(0,19,0)</f>
        <v>0.6152777777777777</v>
      </c>
      <c r="L35" s="14" t="s">
        <v>30</v>
      </c>
      <c r="M35" s="14"/>
      <c r="N35" s="14"/>
      <c r="Q35" s="14"/>
      <c r="R35" s="14"/>
      <c r="S35" s="24">
        <f>K35+TIME(0,4,0)</f>
        <v>0.61805555555555547</v>
      </c>
      <c r="T35" s="87" t="s">
        <v>31</v>
      </c>
    </row>
    <row r="36" spans="1:20" ht="12" customHeight="1" x14ac:dyDescent="0.2">
      <c r="A36" s="14">
        <v>700</v>
      </c>
      <c r="B36" s="1">
        <v>0</v>
      </c>
      <c r="C36" s="1">
        <v>2</v>
      </c>
      <c r="D36" s="15" t="str">
        <f>CONCATENATE(A36," ",B36)</f>
        <v>700 0</v>
      </c>
      <c r="E36" s="16">
        <f>VLOOKUP(D36,Kilometrit!$C$4:$D$48,2,FALSE)</f>
        <v>32.9</v>
      </c>
      <c r="G36" s="182">
        <v>0.64236111111111105</v>
      </c>
      <c r="H36" s="95" t="s">
        <v>31</v>
      </c>
      <c r="I36" s="12">
        <f>G36+TIME(0,4,0)</f>
        <v>0.64513888888888882</v>
      </c>
      <c r="J36" s="95" t="s">
        <v>30</v>
      </c>
      <c r="K36" s="12">
        <f>I36+TIME(0,18,0)</f>
        <v>0.65763888888888877</v>
      </c>
      <c r="L36" s="95" t="s">
        <v>54</v>
      </c>
      <c r="S36" s="12">
        <f>K36+TIME(0,23,0)</f>
        <v>0.67361111111111105</v>
      </c>
      <c r="T36" s="19" t="s">
        <v>58</v>
      </c>
    </row>
    <row r="37" spans="1:20" ht="12" customHeight="1" x14ac:dyDescent="0.2">
      <c r="A37" s="14">
        <v>700</v>
      </c>
      <c r="B37" s="1">
        <v>1</v>
      </c>
      <c r="C37" s="1">
        <v>2</v>
      </c>
      <c r="D37" s="15" t="str">
        <f>CONCATENATE(A37," ",B37)</f>
        <v>700 1</v>
      </c>
      <c r="E37" s="16">
        <f>VLOOKUP(D37,Kilometrit!$C$4:$D$48,2,FALSE)</f>
        <v>33.1</v>
      </c>
      <c r="F37" s="95"/>
      <c r="G37" s="183">
        <v>0.67361111111111116</v>
      </c>
      <c r="H37" s="14" t="s">
        <v>46</v>
      </c>
      <c r="I37" s="24">
        <f>G37+TIME(0,17,0)</f>
        <v>0.68541666666666667</v>
      </c>
      <c r="J37" s="14" t="s">
        <v>54</v>
      </c>
      <c r="K37" s="24">
        <f>I37+TIME(0,18,0)</f>
        <v>0.69791666666666663</v>
      </c>
      <c r="L37" s="14" t="s">
        <v>30</v>
      </c>
      <c r="M37" s="14"/>
      <c r="N37" s="14"/>
      <c r="Q37" s="14"/>
      <c r="R37" s="14"/>
      <c r="S37" s="24">
        <f>K37+TIME(0,4,0)</f>
        <v>0.7006944444444444</v>
      </c>
      <c r="T37" s="87" t="s">
        <v>31</v>
      </c>
    </row>
    <row r="38" spans="1:20" ht="12" customHeight="1" x14ac:dyDescent="0.2">
      <c r="C38" s="15"/>
      <c r="E38" s="16"/>
      <c r="I38" s="96"/>
    </row>
    <row r="39" spans="1:20" ht="12" customHeight="1" x14ac:dyDescent="0.2">
      <c r="A39" s="14"/>
      <c r="E39" s="16"/>
      <c r="I39" s="45"/>
      <c r="J39" s="43"/>
      <c r="K39" s="12"/>
      <c r="M39" s="12"/>
    </row>
    <row r="40" spans="1:20" ht="12" customHeight="1" x14ac:dyDescent="0.2">
      <c r="A40" s="14"/>
      <c r="E40" s="16"/>
      <c r="G40" s="7"/>
      <c r="I40" s="45"/>
      <c r="J40" s="43"/>
      <c r="S40" s="24"/>
      <c r="T40" s="14"/>
    </row>
    <row r="41" spans="1:20" ht="12" customHeight="1" x14ac:dyDescent="0.2">
      <c r="A41" s="14"/>
      <c r="B41" s="15"/>
      <c r="C41" s="15"/>
      <c r="D41" s="15"/>
      <c r="E41" s="16"/>
      <c r="F41" s="15"/>
      <c r="G41" s="15"/>
      <c r="H41" s="15"/>
      <c r="I41" s="46"/>
      <c r="J41" s="44"/>
      <c r="K41" s="12"/>
      <c r="M41" s="12"/>
      <c r="O41" s="14"/>
      <c r="P41" s="14"/>
      <c r="Q41" s="24"/>
      <c r="R41" s="14"/>
      <c r="S41" s="24"/>
      <c r="T41" s="14"/>
    </row>
    <row r="42" spans="1:20" ht="12" customHeight="1" x14ac:dyDescent="0.2">
      <c r="C42" s="15"/>
      <c r="E42" s="16"/>
      <c r="I42" s="45"/>
      <c r="J42" s="44"/>
      <c r="K42" s="41"/>
      <c r="L42" s="41"/>
      <c r="M42" s="14"/>
      <c r="N42" s="14"/>
      <c r="O42" s="14"/>
      <c r="P42" s="14"/>
      <c r="Q42" s="14"/>
      <c r="R42" s="14"/>
      <c r="S42" s="24"/>
      <c r="T42" s="14"/>
    </row>
    <row r="43" spans="1:20" ht="12" customHeight="1" x14ac:dyDescent="0.2">
      <c r="A43" s="14"/>
      <c r="B43" s="15"/>
      <c r="C43" s="15"/>
      <c r="D43" s="15"/>
      <c r="E43" s="16"/>
      <c r="F43" s="15"/>
      <c r="G43" s="15"/>
      <c r="H43" s="15"/>
      <c r="I43" s="46"/>
      <c r="J43" s="43"/>
      <c r="K43" s="12"/>
      <c r="M43" s="12"/>
    </row>
    <row r="44" spans="1:20" ht="12" customHeight="1" x14ac:dyDescent="0.2">
      <c r="B44" s="15"/>
      <c r="C44" s="15"/>
      <c r="D44" s="15"/>
      <c r="E44" s="16"/>
      <c r="F44" s="95"/>
      <c r="G44" s="95"/>
      <c r="H44" s="95"/>
      <c r="I44" s="42"/>
      <c r="J44" s="43"/>
      <c r="O44" s="12"/>
      <c r="Q44" s="12"/>
    </row>
    <row r="45" spans="1:20" ht="12" customHeight="1" x14ac:dyDescent="0.2">
      <c r="B45" s="15"/>
      <c r="C45" s="15"/>
      <c r="D45" s="15"/>
      <c r="E45" s="16"/>
      <c r="F45" s="95"/>
      <c r="G45" s="95"/>
      <c r="H45" s="95"/>
      <c r="I45" s="42"/>
      <c r="J45" s="43"/>
      <c r="K45" s="12"/>
      <c r="M45" s="12"/>
    </row>
    <row r="46" spans="1:20" ht="12" customHeight="1" x14ac:dyDescent="0.2">
      <c r="B46" s="15"/>
      <c r="C46" s="15"/>
      <c r="D46" s="15"/>
      <c r="E46" s="16"/>
      <c r="F46" s="95"/>
      <c r="G46" s="95"/>
      <c r="H46" s="95"/>
      <c r="I46" s="42"/>
      <c r="J46" s="44"/>
      <c r="K46" s="41"/>
      <c r="L46" s="41"/>
      <c r="M46" s="14"/>
      <c r="N46" s="14"/>
      <c r="O46" s="14"/>
      <c r="P46" s="14"/>
      <c r="Q46" s="14"/>
      <c r="R46" s="14"/>
      <c r="S46" s="24"/>
      <c r="T46" s="14"/>
    </row>
    <row r="47" spans="1:20" ht="12" customHeight="1" x14ac:dyDescent="0.2">
      <c r="A47" s="14"/>
      <c r="B47" s="15"/>
      <c r="C47" s="15"/>
      <c r="D47" s="15"/>
      <c r="E47" s="16"/>
      <c r="F47" s="15"/>
      <c r="G47" s="15"/>
      <c r="H47" s="15"/>
      <c r="I47" s="46"/>
      <c r="J47" s="43"/>
      <c r="K47" s="12"/>
      <c r="M47" s="12"/>
    </row>
    <row r="48" spans="1:20" s="14" customFormat="1" ht="12" customHeight="1" x14ac:dyDescent="0.2">
      <c r="B48" s="15"/>
      <c r="C48" s="15"/>
      <c r="D48" s="15"/>
      <c r="E48" s="16"/>
      <c r="F48" s="15"/>
      <c r="G48" s="15"/>
      <c r="H48" s="15"/>
      <c r="I48" s="46"/>
    </row>
    <row r="49" spans="1:20" ht="12" customHeight="1" x14ac:dyDescent="0.2">
      <c r="C49" s="15"/>
      <c r="D49" s="15"/>
      <c r="E49" s="16"/>
      <c r="I49" s="45"/>
      <c r="J49" s="43"/>
      <c r="K49" s="12"/>
      <c r="M49" s="12"/>
    </row>
    <row r="50" spans="1:20" ht="12" customHeight="1" x14ac:dyDescent="0.2">
      <c r="B50" s="95"/>
      <c r="C50" s="95"/>
      <c r="D50" s="95"/>
      <c r="E50" s="95"/>
      <c r="F50" s="95"/>
      <c r="G50" s="95"/>
      <c r="H50" s="95"/>
      <c r="I50" s="43"/>
    </row>
    <row r="51" spans="1:20" ht="12" customHeight="1" x14ac:dyDescent="0.2">
      <c r="C51" s="15"/>
      <c r="D51" s="15"/>
      <c r="E51" s="16"/>
      <c r="F51" s="95"/>
      <c r="G51" s="95"/>
      <c r="H51" s="95"/>
      <c r="I51" s="42"/>
      <c r="J51" s="43"/>
      <c r="K51" s="12"/>
      <c r="M51" s="12"/>
    </row>
    <row r="52" spans="1:20" ht="12" customHeight="1" x14ac:dyDescent="0.2">
      <c r="A52" s="14"/>
      <c r="C52" s="15"/>
      <c r="D52" s="15"/>
      <c r="E52" s="16"/>
      <c r="F52" s="15"/>
      <c r="G52" s="15"/>
      <c r="H52" s="15"/>
      <c r="I52" s="46"/>
      <c r="J52" s="43"/>
      <c r="O52" s="12"/>
      <c r="Q52" s="12"/>
    </row>
    <row r="53" spans="1:20" ht="12" customHeight="1" x14ac:dyDescent="0.2">
      <c r="A53" s="14"/>
      <c r="C53" s="15"/>
      <c r="D53" s="15"/>
      <c r="E53" s="16"/>
      <c r="F53" s="15"/>
      <c r="G53" s="15"/>
      <c r="H53" s="15"/>
      <c r="I53" s="46"/>
      <c r="J53" s="43"/>
      <c r="O53" s="12"/>
      <c r="Q53" s="12"/>
    </row>
    <row r="54" spans="1:20" ht="12" customHeight="1" x14ac:dyDescent="0.2">
      <c r="A54" s="14"/>
      <c r="C54" s="15"/>
      <c r="D54" s="15"/>
      <c r="E54" s="16"/>
      <c r="I54" s="45"/>
      <c r="J54" s="43"/>
      <c r="K54" s="12"/>
      <c r="M54" s="12"/>
    </row>
    <row r="55" spans="1:20" ht="12" customHeight="1" x14ac:dyDescent="0.2">
      <c r="A55" s="14"/>
      <c r="C55" s="15"/>
      <c r="D55" s="15"/>
      <c r="E55" s="16"/>
      <c r="I55" s="42"/>
      <c r="J55" s="44"/>
      <c r="K55" s="41"/>
      <c r="L55" s="41"/>
      <c r="M55" s="14"/>
      <c r="N55" s="14"/>
      <c r="O55" s="14"/>
      <c r="P55" s="14"/>
      <c r="Q55" s="14"/>
      <c r="R55" s="14"/>
      <c r="S55" s="24"/>
      <c r="T55" s="14"/>
    </row>
    <row r="56" spans="1:20" ht="12" customHeight="1" x14ac:dyDescent="0.2">
      <c r="A56" s="14"/>
      <c r="C56" s="15"/>
      <c r="D56" s="15"/>
      <c r="E56" s="16"/>
      <c r="I56" s="45"/>
      <c r="J56" s="43"/>
      <c r="K56" s="12"/>
      <c r="M56" s="12"/>
    </row>
    <row r="57" spans="1:20" ht="12" customHeight="1" x14ac:dyDescent="0.2">
      <c r="A57" s="14"/>
      <c r="C57" s="15"/>
      <c r="D57" s="15"/>
      <c r="E57" s="16"/>
      <c r="F57" s="95"/>
      <c r="G57" s="95"/>
      <c r="H57" s="95"/>
      <c r="I57" s="42"/>
      <c r="J57" s="44"/>
      <c r="K57" s="41"/>
      <c r="L57" s="41"/>
      <c r="M57" s="14"/>
      <c r="N57" s="14"/>
      <c r="O57" s="14"/>
      <c r="P57" s="14"/>
      <c r="Q57" s="14"/>
      <c r="R57" s="14"/>
      <c r="S57" s="24"/>
      <c r="T57" s="14"/>
    </row>
    <row r="58" spans="1:20" ht="12" customHeight="1" x14ac:dyDescent="0.2">
      <c r="B58" s="95"/>
      <c r="C58" s="95"/>
      <c r="D58" s="15"/>
      <c r="E58" s="16"/>
      <c r="F58" s="95"/>
      <c r="G58" s="95"/>
      <c r="H58" s="95"/>
      <c r="I58" s="95"/>
    </row>
    <row r="59" spans="1:20" ht="12" customHeight="1" x14ac:dyDescent="0.2">
      <c r="B59" s="95"/>
      <c r="C59" s="95"/>
      <c r="D59" s="15"/>
      <c r="E59" s="16"/>
      <c r="F59" s="95"/>
      <c r="G59" s="95"/>
      <c r="H59" s="95"/>
      <c r="I59" s="95"/>
    </row>
    <row r="60" spans="1:20" ht="12" customHeight="1" x14ac:dyDescent="0.2">
      <c r="B60" s="95"/>
      <c r="C60" s="95"/>
      <c r="D60" s="15" t="str">
        <f>CONCATENATE(A60," ",B60)</f>
        <v xml:space="preserve"> </v>
      </c>
      <c r="E60" s="16"/>
      <c r="F60" s="95"/>
      <c r="G60" s="95"/>
      <c r="H60" s="95"/>
      <c r="I60" s="95"/>
    </row>
    <row r="61" spans="1:20" ht="12" customHeight="1" x14ac:dyDescent="0.2">
      <c r="A61" s="14"/>
      <c r="E61" s="16"/>
      <c r="I61" s="96"/>
    </row>
    <row r="62" spans="1:20" ht="12" customHeight="1" x14ac:dyDescent="0.2">
      <c r="A62" s="14"/>
      <c r="E62" s="16"/>
      <c r="I62" s="96"/>
    </row>
    <row r="63" spans="1:20" ht="12" customHeight="1" x14ac:dyDescent="0.2">
      <c r="A63" s="14"/>
      <c r="E63" s="16"/>
      <c r="I63" s="96"/>
    </row>
    <row r="64" spans="1:20" ht="12" customHeight="1" x14ac:dyDescent="0.2">
      <c r="B64" s="95"/>
      <c r="C64" s="95"/>
      <c r="D64" s="95"/>
      <c r="E64" s="95"/>
      <c r="F64" s="95"/>
      <c r="G64" s="95"/>
      <c r="H64" s="95"/>
      <c r="I64" s="95"/>
    </row>
    <row r="65" spans="1:9" ht="12" customHeight="1" x14ac:dyDescent="0.2">
      <c r="B65" s="95"/>
      <c r="C65" s="95"/>
      <c r="D65" s="95"/>
      <c r="E65" s="95"/>
      <c r="F65" s="95"/>
      <c r="G65" s="95"/>
      <c r="H65" s="95"/>
      <c r="I65" s="95"/>
    </row>
    <row r="66" spans="1:9" ht="12" customHeight="1" x14ac:dyDescent="0.2">
      <c r="A66" s="14"/>
      <c r="E66" s="16"/>
      <c r="I66" s="96"/>
    </row>
    <row r="67" spans="1:9" ht="12" customHeight="1" x14ac:dyDescent="0.2">
      <c r="A67" s="14"/>
      <c r="E67" s="16"/>
      <c r="I67" s="96"/>
    </row>
    <row r="68" spans="1:9" ht="12" customHeight="1" x14ac:dyDescent="0.2">
      <c r="A68" s="14"/>
      <c r="E68" s="16"/>
      <c r="I68" s="96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0.79998168889431442"/>
  </sheetPr>
  <dimension ref="A1:R83"/>
  <sheetViews>
    <sheetView workbookViewId="0">
      <pane ySplit="11" topLeftCell="A12" activePane="bottomLeft" state="frozen"/>
      <selection pane="bottomLeft"/>
    </sheetView>
  </sheetViews>
  <sheetFormatPr defaultColWidth="9.140625" defaultRowHeight="12" x14ac:dyDescent="0.2"/>
  <cols>
    <col min="1" max="1" width="9.140625" style="4"/>
    <col min="2" max="2" width="6.42578125" style="1" customWidth="1"/>
    <col min="3" max="4" width="9.140625" style="1"/>
    <col min="5" max="5" width="10.140625" style="6" customWidth="1"/>
    <col min="6" max="6" width="9.140625" style="1"/>
    <col min="7" max="7" width="9" style="10" customWidth="1"/>
    <col min="8" max="8" width="12.85546875" style="4" customWidth="1"/>
    <col min="9" max="9" width="9.85546875" style="4" customWidth="1"/>
    <col min="10" max="10" width="17.42578125" style="4" customWidth="1"/>
    <col min="11" max="11" width="8.140625" style="4" customWidth="1"/>
    <col min="12" max="12" width="14" style="4" customWidth="1"/>
    <col min="13" max="13" width="7.85546875" style="1" customWidth="1"/>
    <col min="14" max="14" width="13" style="4" customWidth="1"/>
    <col min="15" max="15" width="12.85546875" style="4" customWidth="1"/>
    <col min="16" max="16" width="13" style="4" customWidth="1"/>
    <col min="17" max="17" width="24.85546875" style="4" customWidth="1"/>
    <col min="18" max="25" width="9.140625" style="4"/>
    <col min="26" max="28" width="9.42578125" style="4" bestFit="1" customWidth="1"/>
    <col min="29" max="16384" width="9.140625" style="4"/>
  </cols>
  <sheetData>
    <row r="1" spans="1:18" customFormat="1" ht="14.45" customHeight="1" x14ac:dyDescent="0.25">
      <c r="A1" t="s">
        <v>186</v>
      </c>
      <c r="B1" s="89"/>
      <c r="C1" s="1"/>
      <c r="D1" s="1"/>
      <c r="E1" s="2"/>
      <c r="G1" s="3"/>
    </row>
    <row r="2" spans="1:18" s="176" customFormat="1" ht="14.45" customHeight="1" x14ac:dyDescent="0.25">
      <c r="A2" s="176" t="s">
        <v>188</v>
      </c>
      <c r="B2" s="177"/>
      <c r="D2" s="190"/>
      <c r="G2" s="178"/>
    </row>
    <row r="3" spans="1:18" ht="14.45" customHeight="1" x14ac:dyDescent="0.2"/>
    <row r="4" spans="1:18" x14ac:dyDescent="0.2">
      <c r="A4" s="4" t="s">
        <v>0</v>
      </c>
      <c r="C4" s="1" t="s">
        <v>22</v>
      </c>
      <c r="D4" s="1" t="s">
        <v>21</v>
      </c>
      <c r="E4" s="1"/>
      <c r="G4" s="1"/>
      <c r="H4" s="6"/>
      <c r="I4" s="1" t="s">
        <v>26</v>
      </c>
      <c r="K4" s="6"/>
      <c r="L4" s="6"/>
      <c r="N4" s="1"/>
      <c r="Q4" s="1"/>
    </row>
    <row r="5" spans="1:18" x14ac:dyDescent="0.2">
      <c r="A5" s="4" t="s">
        <v>1</v>
      </c>
      <c r="C5" s="7">
        <f>G13</f>
        <v>0.29166666665696539</v>
      </c>
      <c r="D5" s="7">
        <f>G17</f>
        <v>0.55555555555555558</v>
      </c>
      <c r="E5" s="7"/>
      <c r="F5" s="7"/>
      <c r="G5" s="7"/>
      <c r="H5" s="7"/>
      <c r="I5" s="1"/>
      <c r="K5" s="7"/>
      <c r="L5" s="7"/>
      <c r="M5" s="7"/>
      <c r="N5" s="7"/>
      <c r="Q5" s="7"/>
    </row>
    <row r="6" spans="1:18" x14ac:dyDescent="0.2">
      <c r="A6" s="4" t="s">
        <v>2</v>
      </c>
      <c r="C6" s="7">
        <f>O15</f>
        <v>0.38194444443474318</v>
      </c>
      <c r="D6" s="7">
        <f>O21</f>
        <v>0.7097222222222217</v>
      </c>
      <c r="E6" s="7"/>
      <c r="F6" s="7"/>
      <c r="G6" s="7"/>
      <c r="H6" s="7"/>
      <c r="I6" s="8">
        <f>SUM(C7:G7)</f>
        <v>0.24444444444444391</v>
      </c>
      <c r="J6" s="4" t="s">
        <v>4</v>
      </c>
      <c r="K6" s="7"/>
      <c r="L6" s="7"/>
      <c r="M6" s="7"/>
      <c r="N6" s="7"/>
      <c r="Q6" s="7"/>
    </row>
    <row r="7" spans="1:18" x14ac:dyDescent="0.2">
      <c r="A7" s="4" t="s">
        <v>3</v>
      </c>
      <c r="C7" s="7">
        <f>C6-C5</f>
        <v>9.027777777777779E-2</v>
      </c>
      <c r="D7" s="7">
        <f>D6-D5</f>
        <v>0.15416666666666612</v>
      </c>
      <c r="E7" s="7"/>
      <c r="F7" s="7"/>
      <c r="G7" s="7"/>
      <c r="H7" s="7"/>
      <c r="I7" s="6">
        <f>SUM(C8:G8)</f>
        <v>272.59999999999997</v>
      </c>
      <c r="J7" s="4" t="s">
        <v>6</v>
      </c>
      <c r="K7" s="7"/>
      <c r="L7" s="106"/>
      <c r="M7" s="7"/>
      <c r="N7" s="7"/>
      <c r="Q7" s="7"/>
    </row>
    <row r="8" spans="1:18" x14ac:dyDescent="0.2">
      <c r="A8" s="4" t="s">
        <v>5</v>
      </c>
      <c r="C8" s="6">
        <f>SUM(E13:E15)</f>
        <v>103.3</v>
      </c>
      <c r="D8" s="6">
        <f>SUM(E17:E21)</f>
        <v>169.29999999999998</v>
      </c>
      <c r="F8" s="6"/>
      <c r="G8" s="6"/>
      <c r="H8" s="6"/>
      <c r="I8" s="1">
        <v>1</v>
      </c>
      <c r="J8" s="4" t="s">
        <v>8</v>
      </c>
      <c r="K8" s="6"/>
      <c r="L8" s="6"/>
      <c r="M8" s="6"/>
      <c r="N8" s="6"/>
      <c r="Q8" s="6"/>
    </row>
    <row r="9" spans="1:18" x14ac:dyDescent="0.2">
      <c r="A9" s="4" t="s">
        <v>7</v>
      </c>
      <c r="E9" s="1"/>
      <c r="F9" s="9"/>
      <c r="G9" s="9"/>
      <c r="H9" s="9"/>
      <c r="K9" s="9"/>
      <c r="L9" s="9"/>
      <c r="M9" s="10"/>
      <c r="N9" s="1"/>
    </row>
    <row r="11" spans="1:18" x14ac:dyDescent="0.2">
      <c r="A11" s="4" t="s">
        <v>9</v>
      </c>
      <c r="B11" s="1" t="s">
        <v>10</v>
      </c>
      <c r="C11" s="1" t="s">
        <v>11</v>
      </c>
      <c r="E11" s="6" t="s">
        <v>12</v>
      </c>
      <c r="F11" s="1" t="s">
        <v>13</v>
      </c>
      <c r="G11" s="10" t="s">
        <v>14</v>
      </c>
      <c r="H11" s="4" t="s">
        <v>15</v>
      </c>
      <c r="I11" s="10" t="s">
        <v>14</v>
      </c>
      <c r="J11" s="4" t="s">
        <v>23</v>
      </c>
      <c r="K11" s="10" t="s">
        <v>14</v>
      </c>
      <c r="L11" s="4" t="s">
        <v>23</v>
      </c>
      <c r="M11" s="4" t="s">
        <v>18</v>
      </c>
      <c r="N11" s="4" t="s">
        <v>23</v>
      </c>
      <c r="O11" s="1" t="s">
        <v>17</v>
      </c>
      <c r="P11" s="4" t="s">
        <v>16</v>
      </c>
      <c r="R11" s="4" t="s">
        <v>116</v>
      </c>
    </row>
    <row r="12" spans="1:18" s="95" customFormat="1" x14ac:dyDescent="0.2">
      <c r="B12" s="1"/>
      <c r="C12" s="1"/>
      <c r="D12" s="1"/>
      <c r="E12" s="6"/>
      <c r="F12" s="1"/>
      <c r="G12" s="10"/>
      <c r="I12" s="10"/>
      <c r="K12" s="10"/>
      <c r="O12" s="1"/>
    </row>
    <row r="13" spans="1:18" x14ac:dyDescent="0.2">
      <c r="A13" s="92">
        <v>700</v>
      </c>
      <c r="B13" s="93">
        <v>0</v>
      </c>
      <c r="C13" s="93">
        <v>1</v>
      </c>
      <c r="D13" s="93" t="str">
        <f t="shared" ref="D13" si="0">CONCATENATE(A13," ",B13)</f>
        <v>700 0</v>
      </c>
      <c r="E13" s="91">
        <v>32.9</v>
      </c>
      <c r="F13" s="93"/>
      <c r="G13" s="189">
        <v>0.29166666665696539</v>
      </c>
      <c r="H13" s="92" t="s">
        <v>46</v>
      </c>
      <c r="I13" s="102">
        <f>G13+TIME(0,16,0)</f>
        <v>0.30277777776807652</v>
      </c>
      <c r="J13" s="92" t="s">
        <v>68</v>
      </c>
      <c r="K13" s="94"/>
      <c r="L13" s="92"/>
      <c r="M13" s="102">
        <f>I13+TIME(0,19,0)</f>
        <v>0.31597222221252097</v>
      </c>
      <c r="N13" s="92" t="s">
        <v>30</v>
      </c>
      <c r="O13" s="102">
        <f>M13+TIME(0,5,0)</f>
        <v>0.31944444443474318</v>
      </c>
      <c r="P13" s="92" t="s">
        <v>31</v>
      </c>
      <c r="Q13" s="95"/>
      <c r="R13" s="4">
        <v>0</v>
      </c>
    </row>
    <row r="14" spans="1:18" s="95" customFormat="1" x14ac:dyDescent="0.2">
      <c r="A14" s="92">
        <v>700</v>
      </c>
      <c r="B14" s="93">
        <v>1</v>
      </c>
      <c r="C14" s="93">
        <v>1</v>
      </c>
      <c r="D14" s="93" t="str">
        <f t="shared" ref="D14" si="1">CONCATENATE(A14," ",B14)</f>
        <v>700 1</v>
      </c>
      <c r="E14" s="91">
        <v>33.1</v>
      </c>
      <c r="F14" s="93"/>
      <c r="G14" s="189">
        <f>O13+TIME(0,5,0)</f>
        <v>0.32291666665696539</v>
      </c>
      <c r="H14" s="92" t="s">
        <v>31</v>
      </c>
      <c r="I14" s="103">
        <f>G14+TIME(0,4,0)</f>
        <v>0.32569444443474316</v>
      </c>
      <c r="J14" s="92" t="s">
        <v>30</v>
      </c>
      <c r="K14" s="103">
        <f>I14+TIME(0,18,0)</f>
        <v>0.33819444443474317</v>
      </c>
      <c r="L14" s="92" t="s">
        <v>54</v>
      </c>
      <c r="M14" s="92"/>
      <c r="N14" s="92"/>
      <c r="O14" s="103">
        <f>K14+TIME(0,18,0)</f>
        <v>0.35069444443474318</v>
      </c>
      <c r="P14" s="107" t="s">
        <v>58</v>
      </c>
      <c r="R14" s="95">
        <v>0</v>
      </c>
    </row>
    <row r="15" spans="1:18" s="95" customFormat="1" ht="12" customHeight="1" x14ac:dyDescent="0.2">
      <c r="A15" s="14">
        <v>602</v>
      </c>
      <c r="B15" s="1">
        <v>0</v>
      </c>
      <c r="C15" s="15">
        <v>1</v>
      </c>
      <c r="D15" s="15" t="str">
        <f t="shared" ref="D15" si="2">CONCATENATE(A15," ",B15)</f>
        <v>602 0</v>
      </c>
      <c r="E15" s="16">
        <f>VLOOKUP(D15,Kilometrit!$C$4:$D$48,2,FALSE)</f>
        <v>37.299999999999997</v>
      </c>
      <c r="F15" s="15"/>
      <c r="G15" s="181">
        <f>O14</f>
        <v>0.35069444443474318</v>
      </c>
      <c r="H15" s="95" t="s">
        <v>46</v>
      </c>
      <c r="I15" s="12">
        <f>G15+TIME(0,8,0)</f>
        <v>0.35624999999029872</v>
      </c>
      <c r="J15" s="95" t="s">
        <v>55</v>
      </c>
      <c r="K15" s="96" t="s">
        <v>99</v>
      </c>
      <c r="L15" s="95" t="s">
        <v>79</v>
      </c>
      <c r="M15" s="96">
        <f>I15+TIME(0,19,0)</f>
        <v>0.36944444443474317</v>
      </c>
      <c r="N15" s="95" t="s">
        <v>102</v>
      </c>
      <c r="O15" s="12">
        <f>M15+TIME(0,18,0)</f>
        <v>0.38194444443474318</v>
      </c>
      <c r="P15" s="19" t="s">
        <v>31</v>
      </c>
    </row>
    <row r="16" spans="1:18" s="14" customFormat="1" x14ac:dyDescent="0.2">
      <c r="A16" s="92"/>
      <c r="B16" s="93"/>
      <c r="C16" s="93"/>
      <c r="D16" s="93"/>
      <c r="E16" s="91"/>
      <c r="F16" s="93"/>
      <c r="G16" s="189"/>
      <c r="H16" s="92"/>
      <c r="I16" s="102"/>
      <c r="J16" s="92"/>
      <c r="K16" s="94"/>
      <c r="L16" s="92"/>
      <c r="M16" s="102"/>
      <c r="N16" s="92"/>
      <c r="O16" s="102"/>
      <c r="P16" s="92"/>
      <c r="Q16" s="169"/>
    </row>
    <row r="17" spans="1:18" s="95" customFormat="1" x14ac:dyDescent="0.2">
      <c r="A17" s="14">
        <v>602</v>
      </c>
      <c r="B17" s="15">
        <v>1</v>
      </c>
      <c r="C17" s="15">
        <v>1</v>
      </c>
      <c r="D17" s="1" t="str">
        <f t="shared" ref="D17" si="3">CONCATENATE(A17," ",B17)</f>
        <v>602 1</v>
      </c>
      <c r="E17" s="16">
        <f>VLOOKUP(D17,Kilometrit!$C$4:$D$45,2,FALSE)</f>
        <v>37.299999999999997</v>
      </c>
      <c r="F17" s="15"/>
      <c r="G17" s="181">
        <v>0.55555555555555558</v>
      </c>
      <c r="H17" s="14" t="s">
        <v>31</v>
      </c>
      <c r="I17" s="12">
        <f>G17+TIME(0,17,0)</f>
        <v>0.56736111111111109</v>
      </c>
      <c r="J17" s="95" t="s">
        <v>102</v>
      </c>
      <c r="K17" s="96" t="s">
        <v>99</v>
      </c>
      <c r="L17" s="95" t="s">
        <v>79</v>
      </c>
      <c r="M17" s="24">
        <f>I17+TIME(0,18,0)</f>
        <v>0.57986111111111105</v>
      </c>
      <c r="N17" s="14" t="s">
        <v>55</v>
      </c>
      <c r="O17" s="24">
        <f>M17+TIME(0,10,0)</f>
        <v>0.58680555555555547</v>
      </c>
      <c r="P17" s="14" t="s">
        <v>58</v>
      </c>
      <c r="Q17" s="1"/>
    </row>
    <row r="18" spans="1:18" s="95" customFormat="1" x14ac:dyDescent="0.2">
      <c r="A18" s="92">
        <v>700</v>
      </c>
      <c r="B18" s="93">
        <v>0</v>
      </c>
      <c r="C18" s="93">
        <v>1</v>
      </c>
      <c r="D18" s="93" t="str">
        <f>CONCATENATE(A18," ",B18)</f>
        <v>700 0</v>
      </c>
      <c r="E18" s="91">
        <v>32.9</v>
      </c>
      <c r="F18" s="93"/>
      <c r="G18" s="189">
        <f>O17+TIME(0,5,0)</f>
        <v>0.59027777777777768</v>
      </c>
      <c r="H18" s="92" t="s">
        <v>46</v>
      </c>
      <c r="I18" s="102">
        <f>G18+TIME(0,16,0)</f>
        <v>0.60138888888888875</v>
      </c>
      <c r="J18" s="92" t="s">
        <v>68</v>
      </c>
      <c r="K18" s="94"/>
      <c r="L18" s="92"/>
      <c r="M18" s="102">
        <f>I18+TIME(0,19,0)</f>
        <v>0.61458333333333315</v>
      </c>
      <c r="N18" s="92" t="s">
        <v>30</v>
      </c>
      <c r="O18" s="102">
        <f>M18+TIME(0,5,0)</f>
        <v>0.61805555555555536</v>
      </c>
      <c r="P18" s="92" t="s">
        <v>31</v>
      </c>
      <c r="R18" s="95">
        <v>0</v>
      </c>
    </row>
    <row r="19" spans="1:18" s="95" customFormat="1" x14ac:dyDescent="0.2">
      <c r="A19" s="92">
        <v>700</v>
      </c>
      <c r="B19" s="93">
        <v>1</v>
      </c>
      <c r="C19" s="93">
        <v>1</v>
      </c>
      <c r="D19" s="93" t="str">
        <f t="shared" ref="D19:D20" si="4">CONCATENATE(A19," ",B19)</f>
        <v>700 1</v>
      </c>
      <c r="E19" s="91">
        <v>33.1</v>
      </c>
      <c r="F19" s="93"/>
      <c r="G19" s="189">
        <f>O18+TIME(0,5,0)</f>
        <v>0.62152777777777757</v>
      </c>
      <c r="H19" s="92" t="s">
        <v>31</v>
      </c>
      <c r="I19" s="103">
        <f>G19+TIME(0,4,0)</f>
        <v>0.62430555555555534</v>
      </c>
      <c r="J19" s="92" t="s">
        <v>30</v>
      </c>
      <c r="K19" s="103">
        <f>I19+TIME(0,18,0)</f>
        <v>0.63680555555555529</v>
      </c>
      <c r="L19" s="92" t="s">
        <v>54</v>
      </c>
      <c r="M19" s="92"/>
      <c r="N19" s="92"/>
      <c r="O19" s="103">
        <f>K19+TIME(0,18,0)</f>
        <v>0.64930555555555525</v>
      </c>
      <c r="P19" s="107" t="s">
        <v>58</v>
      </c>
      <c r="R19" s="95">
        <v>0</v>
      </c>
    </row>
    <row r="20" spans="1:18" s="95" customFormat="1" x14ac:dyDescent="0.2">
      <c r="A20" s="92">
        <v>700</v>
      </c>
      <c r="B20" s="93">
        <v>0</v>
      </c>
      <c r="C20" s="93">
        <v>1</v>
      </c>
      <c r="D20" s="93" t="str">
        <f t="shared" si="4"/>
        <v>700 0</v>
      </c>
      <c r="E20" s="91">
        <v>32.9</v>
      </c>
      <c r="F20" s="93"/>
      <c r="G20" s="189">
        <f>O19</f>
        <v>0.64930555555555525</v>
      </c>
      <c r="H20" s="92" t="s">
        <v>46</v>
      </c>
      <c r="I20" s="102">
        <f>G20+TIME(0,16,0)</f>
        <v>0.66041666666666632</v>
      </c>
      <c r="J20" s="92" t="s">
        <v>68</v>
      </c>
      <c r="K20" s="94"/>
      <c r="L20" s="92"/>
      <c r="M20" s="102">
        <f>I20+TIME(0,19,0)</f>
        <v>0.67361111111111072</v>
      </c>
      <c r="N20" s="92" t="s">
        <v>30</v>
      </c>
      <c r="O20" s="102">
        <f>M20+TIME(0,5,0)</f>
        <v>0.67708333333333293</v>
      </c>
      <c r="P20" s="92" t="s">
        <v>31</v>
      </c>
      <c r="R20" s="95">
        <v>0</v>
      </c>
    </row>
    <row r="21" spans="1:18" x14ac:dyDescent="0.2">
      <c r="A21" s="4">
        <v>700</v>
      </c>
      <c r="B21" s="1">
        <v>1</v>
      </c>
      <c r="C21" s="1">
        <v>1</v>
      </c>
      <c r="D21" s="1" t="str">
        <f t="shared" ref="D21" si="5">CONCATENATE(A21," ",B21)</f>
        <v>700 1</v>
      </c>
      <c r="E21" s="6">
        <f>VLOOKUP(D21,Kilometrit!$C$4:$D$52,2,FALSE)</f>
        <v>33.1</v>
      </c>
      <c r="G21" s="181">
        <f>O20+TIME(0,5,0)</f>
        <v>0.68055555555555514</v>
      </c>
      <c r="H21" s="95" t="s">
        <v>31</v>
      </c>
      <c r="I21" s="12">
        <f>G21+TIME(0,4,0)</f>
        <v>0.6833333333333329</v>
      </c>
      <c r="J21" s="95" t="s">
        <v>30</v>
      </c>
      <c r="K21" s="12">
        <f>I21+TIME(0,18,0)</f>
        <v>0.69583333333333286</v>
      </c>
      <c r="L21" s="95" t="s">
        <v>54</v>
      </c>
      <c r="M21" s="95"/>
      <c r="N21" s="95"/>
      <c r="O21" s="12">
        <f>K21+TIME(0,20,0)</f>
        <v>0.7097222222222217</v>
      </c>
      <c r="P21" s="19" t="s">
        <v>58</v>
      </c>
      <c r="Q21" s="95"/>
      <c r="R21" s="4">
        <v>0</v>
      </c>
    </row>
    <row r="23" spans="1:18" x14ac:dyDescent="0.2">
      <c r="A23" s="14"/>
      <c r="B23" s="15"/>
      <c r="C23" s="15"/>
      <c r="D23" s="15"/>
      <c r="E23" s="16"/>
      <c r="F23" s="15"/>
      <c r="G23" s="17"/>
      <c r="H23" s="14"/>
      <c r="I23" s="14"/>
      <c r="J23" s="14"/>
      <c r="K23" s="14"/>
      <c r="L23" s="14"/>
      <c r="M23" s="17"/>
      <c r="N23" s="14"/>
      <c r="O23" s="17"/>
      <c r="P23" s="14"/>
      <c r="Q23" s="10" t="s">
        <v>115</v>
      </c>
      <c r="R23" s="4">
        <f>SUM(R13:R21)</f>
        <v>0</v>
      </c>
    </row>
    <row r="24" spans="1:18" x14ac:dyDescent="0.2">
      <c r="A24" s="14"/>
      <c r="G24" s="11"/>
      <c r="H24" s="95"/>
      <c r="M24" s="12"/>
      <c r="O24" s="13"/>
    </row>
    <row r="25" spans="1:18" x14ac:dyDescent="0.2">
      <c r="G25" s="11"/>
      <c r="H25" s="47" t="s">
        <v>174</v>
      </c>
      <c r="I25" s="47"/>
      <c r="J25" s="47"/>
      <c r="K25" s="159">
        <v>0.3611111111111111</v>
      </c>
      <c r="L25" s="171">
        <v>32.9</v>
      </c>
      <c r="M25" s="159"/>
      <c r="N25" s="47"/>
      <c r="O25" s="172"/>
    </row>
    <row r="26" spans="1:18" x14ac:dyDescent="0.2">
      <c r="G26" s="11"/>
      <c r="H26" s="47" t="s">
        <v>177</v>
      </c>
      <c r="I26" s="47"/>
      <c r="J26" s="47"/>
      <c r="K26" s="159">
        <v>0.4201388888888889</v>
      </c>
      <c r="L26" s="171">
        <v>33.1</v>
      </c>
      <c r="M26" s="159"/>
      <c r="N26" s="47"/>
      <c r="O26" s="47"/>
    </row>
    <row r="27" spans="1:18" x14ac:dyDescent="0.2">
      <c r="A27" s="14"/>
      <c r="G27" s="11"/>
      <c r="H27" s="47" t="s">
        <v>180</v>
      </c>
      <c r="I27" s="47"/>
      <c r="J27" s="47"/>
      <c r="K27" s="159">
        <v>0.49305555555555558</v>
      </c>
      <c r="L27" s="49">
        <v>37.299999999999997</v>
      </c>
      <c r="M27" s="159"/>
      <c r="N27" s="172">
        <v>0.32777777777777778</v>
      </c>
      <c r="O27" s="172" t="s">
        <v>184</v>
      </c>
    </row>
    <row r="28" spans="1:18" x14ac:dyDescent="0.2">
      <c r="A28" s="14"/>
      <c r="G28" s="11"/>
      <c r="H28" s="47" t="s">
        <v>178</v>
      </c>
      <c r="I28" s="47"/>
      <c r="J28" s="47"/>
      <c r="K28" s="159">
        <v>0.53125</v>
      </c>
      <c r="L28" s="171">
        <v>33.1</v>
      </c>
      <c r="M28" s="159"/>
      <c r="N28" s="47"/>
      <c r="O28" s="172"/>
    </row>
    <row r="29" spans="1:18" x14ac:dyDescent="0.2">
      <c r="A29" s="14"/>
      <c r="G29" s="11"/>
      <c r="H29" s="47" t="s">
        <v>175</v>
      </c>
      <c r="I29" s="47"/>
      <c r="J29" s="47"/>
      <c r="K29" s="159">
        <v>0.57638888888888895</v>
      </c>
      <c r="L29" s="171">
        <v>32.9</v>
      </c>
      <c r="M29" s="159"/>
      <c r="N29" s="47"/>
      <c r="O29" s="172"/>
    </row>
    <row r="30" spans="1:18" x14ac:dyDescent="0.2">
      <c r="G30" s="11"/>
      <c r="H30" s="47" t="s">
        <v>181</v>
      </c>
      <c r="I30" s="47"/>
      <c r="J30" s="47"/>
      <c r="K30" s="159">
        <v>0.625</v>
      </c>
      <c r="L30" s="49">
        <v>37.299999999999997</v>
      </c>
      <c r="M30" s="159"/>
      <c r="N30" s="47"/>
      <c r="O30" s="172"/>
    </row>
    <row r="31" spans="1:18" x14ac:dyDescent="0.2">
      <c r="G31" s="11"/>
      <c r="H31" s="47" t="s">
        <v>176</v>
      </c>
      <c r="I31" s="47"/>
      <c r="J31" s="47"/>
      <c r="K31" s="159">
        <v>0.65972222222222221</v>
      </c>
      <c r="L31" s="171">
        <v>32.9</v>
      </c>
      <c r="M31" s="159"/>
      <c r="N31" s="47"/>
      <c r="O31" s="172"/>
    </row>
    <row r="32" spans="1:18" x14ac:dyDescent="0.2">
      <c r="G32" s="11"/>
      <c r="H32" s="47" t="s">
        <v>179</v>
      </c>
      <c r="I32" s="47"/>
      <c r="J32" s="47"/>
      <c r="K32" s="159">
        <v>0.70972222222222225</v>
      </c>
      <c r="L32" s="171">
        <v>33.1</v>
      </c>
      <c r="M32" s="159"/>
      <c r="N32" s="47"/>
      <c r="O32" s="172"/>
    </row>
    <row r="33" spans="1:15" x14ac:dyDescent="0.2">
      <c r="G33" s="11"/>
      <c r="H33" s="47"/>
      <c r="I33" s="47"/>
      <c r="J33" s="47"/>
      <c r="K33" s="47"/>
      <c r="L33" s="173">
        <f>SUM(L25:L32)</f>
        <v>272.60000000000002</v>
      </c>
      <c r="M33" s="159"/>
      <c r="N33" s="47"/>
      <c r="O33" s="172"/>
    </row>
    <row r="35" spans="1:15" x14ac:dyDescent="0.2">
      <c r="G35" s="11"/>
      <c r="M35" s="12"/>
      <c r="O35" s="13"/>
    </row>
    <row r="38" spans="1:15" x14ac:dyDescent="0.2">
      <c r="A38" s="14"/>
      <c r="G38" s="11"/>
      <c r="M38" s="12"/>
      <c r="O38" s="13"/>
    </row>
    <row r="39" spans="1:15" x14ac:dyDescent="0.2">
      <c r="G39" s="11"/>
      <c r="M39" s="12"/>
      <c r="O39" s="13"/>
    </row>
    <row r="40" spans="1:15" x14ac:dyDescent="0.2">
      <c r="A40" s="14"/>
      <c r="G40" s="11"/>
      <c r="M40" s="12"/>
      <c r="O40" s="13"/>
    </row>
    <row r="41" spans="1:15" x14ac:dyDescent="0.2">
      <c r="G41" s="11"/>
      <c r="M41" s="12"/>
      <c r="O41" s="13"/>
    </row>
    <row r="42" spans="1:15" x14ac:dyDescent="0.2">
      <c r="A42" s="14"/>
      <c r="G42" s="11"/>
      <c r="M42" s="12"/>
      <c r="O42" s="13"/>
    </row>
    <row r="43" spans="1:15" x14ac:dyDescent="0.2">
      <c r="G43" s="11"/>
      <c r="M43" s="12"/>
      <c r="O43" s="13"/>
    </row>
    <row r="44" spans="1:15" x14ac:dyDescent="0.2">
      <c r="A44" s="14"/>
      <c r="G44" s="11"/>
      <c r="M44" s="12"/>
      <c r="O44" s="13"/>
    </row>
    <row r="45" spans="1:15" x14ac:dyDescent="0.2">
      <c r="G45" s="11"/>
      <c r="M45" s="12"/>
      <c r="O45" s="13"/>
    </row>
    <row r="46" spans="1:15" x14ac:dyDescent="0.2">
      <c r="A46" s="14"/>
      <c r="G46" s="11"/>
      <c r="M46" s="12"/>
      <c r="O46" s="13"/>
    </row>
    <row r="47" spans="1:15" x14ac:dyDescent="0.2">
      <c r="G47" s="11"/>
      <c r="M47" s="12"/>
      <c r="O47" s="13"/>
    </row>
    <row r="48" spans="1:15" x14ac:dyDescent="0.2">
      <c r="A48" s="14"/>
      <c r="G48" s="11"/>
      <c r="M48" s="12"/>
      <c r="O48" s="13"/>
    </row>
    <row r="49" spans="1:18" x14ac:dyDescent="0.2">
      <c r="G49" s="11"/>
      <c r="M49" s="12"/>
      <c r="O49" s="13"/>
    </row>
    <row r="50" spans="1:18" x14ac:dyDescent="0.2">
      <c r="G50" s="11"/>
      <c r="M50" s="12"/>
      <c r="O50" s="13"/>
    </row>
    <row r="51" spans="1:18" x14ac:dyDescent="0.2">
      <c r="A51" s="14"/>
      <c r="G51" s="11"/>
      <c r="M51" s="4"/>
      <c r="O51" s="13"/>
    </row>
    <row r="52" spans="1:18" x14ac:dyDescent="0.2">
      <c r="A52" s="14"/>
      <c r="B52" s="15"/>
      <c r="C52" s="15"/>
      <c r="D52" s="15"/>
      <c r="E52" s="16"/>
      <c r="F52" s="15"/>
      <c r="G52" s="17"/>
      <c r="H52" s="14"/>
      <c r="I52" s="14"/>
      <c r="J52" s="14"/>
      <c r="K52" s="14"/>
      <c r="L52" s="14"/>
      <c r="M52" s="24"/>
      <c r="N52" s="14"/>
      <c r="O52" s="18"/>
      <c r="P52" s="14"/>
      <c r="Q52" s="14"/>
      <c r="R52" s="25"/>
    </row>
    <row r="53" spans="1:18" x14ac:dyDescent="0.2">
      <c r="A53" s="14"/>
      <c r="G53" s="11"/>
      <c r="M53" s="12"/>
      <c r="O53" s="13"/>
    </row>
    <row r="54" spans="1:18" x14ac:dyDescent="0.2">
      <c r="A54" s="10"/>
      <c r="G54" s="11"/>
      <c r="M54" s="12"/>
      <c r="O54" s="11"/>
    </row>
    <row r="55" spans="1:18" s="14" customFormat="1" x14ac:dyDescent="0.2">
      <c r="B55" s="15"/>
      <c r="C55" s="15"/>
      <c r="D55" s="15"/>
      <c r="E55" s="6"/>
      <c r="F55" s="15"/>
      <c r="G55" s="17"/>
      <c r="M55" s="12"/>
      <c r="N55" s="4"/>
      <c r="O55" s="18"/>
    </row>
    <row r="56" spans="1:18" x14ac:dyDescent="0.2">
      <c r="G56" s="11"/>
      <c r="M56" s="12"/>
      <c r="O56" s="13"/>
    </row>
    <row r="57" spans="1:18" x14ac:dyDescent="0.2">
      <c r="A57" s="14"/>
      <c r="B57" s="15"/>
      <c r="C57" s="15"/>
      <c r="D57" s="15"/>
      <c r="F57" s="15"/>
      <c r="G57" s="17"/>
      <c r="H57" s="14"/>
      <c r="I57" s="14"/>
      <c r="J57" s="14"/>
      <c r="K57" s="14"/>
      <c r="L57" s="14"/>
      <c r="M57" s="12"/>
      <c r="O57" s="18"/>
      <c r="P57" s="14"/>
    </row>
    <row r="58" spans="1:18" x14ac:dyDescent="0.2">
      <c r="G58" s="11"/>
      <c r="M58" s="12"/>
      <c r="O58" s="13"/>
    </row>
    <row r="59" spans="1:18" x14ac:dyDescent="0.2">
      <c r="A59" s="14"/>
      <c r="B59" s="15"/>
      <c r="C59" s="15"/>
      <c r="D59" s="15"/>
      <c r="F59" s="15"/>
      <c r="G59" s="17"/>
      <c r="H59" s="14"/>
      <c r="I59" s="14"/>
      <c r="J59" s="14"/>
      <c r="K59" s="14"/>
      <c r="L59" s="14"/>
      <c r="M59" s="12"/>
      <c r="O59" s="18"/>
      <c r="P59" s="14"/>
    </row>
    <row r="60" spans="1:18" x14ac:dyDescent="0.2">
      <c r="G60" s="11"/>
      <c r="M60" s="12"/>
      <c r="O60" s="13"/>
    </row>
    <row r="61" spans="1:18" x14ac:dyDescent="0.2">
      <c r="A61" s="14"/>
      <c r="B61" s="15"/>
      <c r="C61" s="15"/>
      <c r="D61" s="15"/>
      <c r="F61" s="15"/>
      <c r="G61" s="17"/>
      <c r="H61" s="14"/>
      <c r="I61" s="14"/>
      <c r="J61" s="14"/>
      <c r="K61" s="14"/>
      <c r="L61" s="14"/>
      <c r="M61" s="12"/>
      <c r="O61" s="18"/>
      <c r="P61" s="14"/>
    </row>
    <row r="62" spans="1:18" x14ac:dyDescent="0.2">
      <c r="G62" s="11"/>
      <c r="M62" s="12"/>
      <c r="O62" s="13"/>
    </row>
    <row r="63" spans="1:18" x14ac:dyDescent="0.2">
      <c r="A63" s="14"/>
      <c r="B63" s="15"/>
      <c r="C63" s="15"/>
      <c r="D63" s="15"/>
      <c r="F63" s="15"/>
      <c r="G63" s="17"/>
      <c r="H63" s="14"/>
      <c r="I63" s="14"/>
      <c r="J63" s="14"/>
      <c r="K63" s="14"/>
      <c r="L63" s="14"/>
      <c r="M63" s="12"/>
      <c r="O63" s="18"/>
      <c r="P63" s="14"/>
    </row>
    <row r="64" spans="1:18" x14ac:dyDescent="0.2">
      <c r="G64" s="11"/>
      <c r="M64" s="12"/>
      <c r="O64" s="13"/>
    </row>
    <row r="65" spans="1:16" x14ac:dyDescent="0.2">
      <c r="A65" s="14"/>
      <c r="B65" s="15"/>
      <c r="C65" s="15"/>
      <c r="D65" s="15"/>
      <c r="F65" s="15"/>
      <c r="G65" s="17"/>
      <c r="H65" s="14"/>
      <c r="I65" s="14"/>
      <c r="J65" s="14"/>
      <c r="K65" s="14"/>
      <c r="L65" s="14"/>
      <c r="M65" s="12"/>
      <c r="O65" s="18"/>
      <c r="P65" s="14"/>
    </row>
    <row r="66" spans="1:16" x14ac:dyDescent="0.2">
      <c r="G66" s="11"/>
      <c r="M66" s="12"/>
      <c r="O66" s="13"/>
    </row>
    <row r="67" spans="1:16" x14ac:dyDescent="0.2">
      <c r="A67" s="14"/>
      <c r="B67" s="15"/>
      <c r="C67" s="15"/>
      <c r="D67" s="15"/>
      <c r="F67" s="15"/>
      <c r="G67" s="17"/>
      <c r="H67" s="14"/>
      <c r="I67" s="14"/>
      <c r="J67" s="14"/>
      <c r="K67" s="14"/>
      <c r="L67" s="14"/>
      <c r="M67" s="12"/>
      <c r="O67" s="18"/>
      <c r="P67" s="14"/>
    </row>
    <row r="68" spans="1:16" x14ac:dyDescent="0.2">
      <c r="G68" s="11"/>
      <c r="M68" s="12"/>
      <c r="O68" s="13"/>
    </row>
    <row r="69" spans="1:16" x14ac:dyDescent="0.2">
      <c r="A69" s="14"/>
      <c r="B69" s="15"/>
      <c r="C69" s="15"/>
      <c r="D69" s="15"/>
      <c r="F69" s="15"/>
      <c r="G69" s="17"/>
      <c r="H69" s="14"/>
      <c r="I69" s="14"/>
      <c r="J69" s="14"/>
      <c r="K69" s="14"/>
      <c r="L69" s="14"/>
      <c r="M69" s="12"/>
      <c r="O69" s="18"/>
      <c r="P69" s="14"/>
    </row>
    <row r="70" spans="1:16" x14ac:dyDescent="0.2">
      <c r="G70" s="11"/>
      <c r="M70" s="12"/>
      <c r="O70" s="13"/>
    </row>
    <row r="71" spans="1:16" x14ac:dyDescent="0.2">
      <c r="A71" s="14"/>
      <c r="B71" s="15"/>
      <c r="C71" s="15"/>
      <c r="D71" s="15"/>
      <c r="F71" s="15"/>
      <c r="G71" s="17"/>
      <c r="H71" s="14"/>
      <c r="I71" s="14"/>
      <c r="J71" s="14"/>
      <c r="K71" s="14"/>
      <c r="L71" s="14"/>
      <c r="M71" s="12"/>
      <c r="O71" s="18"/>
      <c r="P71" s="14"/>
    </row>
    <row r="72" spans="1:16" x14ac:dyDescent="0.2">
      <c r="G72" s="11"/>
      <c r="M72" s="12"/>
      <c r="O72" s="13"/>
    </row>
    <row r="73" spans="1:16" x14ac:dyDescent="0.2">
      <c r="A73" s="14"/>
      <c r="B73" s="15"/>
      <c r="C73" s="15"/>
      <c r="D73" s="15"/>
      <c r="F73" s="15"/>
      <c r="G73" s="17"/>
      <c r="H73" s="14"/>
      <c r="I73" s="14"/>
      <c r="J73" s="14"/>
      <c r="K73" s="14"/>
      <c r="L73" s="14"/>
      <c r="M73" s="12"/>
      <c r="O73" s="18"/>
      <c r="P73" s="14"/>
    </row>
    <row r="74" spans="1:16" x14ac:dyDescent="0.2">
      <c r="G74" s="11"/>
      <c r="M74" s="12"/>
      <c r="O74" s="13"/>
    </row>
    <row r="75" spans="1:16" x14ac:dyDescent="0.2">
      <c r="A75" s="14"/>
      <c r="B75" s="15"/>
      <c r="C75" s="15"/>
      <c r="D75" s="15"/>
      <c r="F75" s="15"/>
      <c r="G75" s="17"/>
      <c r="H75" s="14"/>
      <c r="I75" s="14"/>
      <c r="J75" s="14"/>
      <c r="K75" s="14"/>
      <c r="L75" s="14"/>
      <c r="M75" s="12"/>
      <c r="O75" s="18"/>
      <c r="P75" s="14"/>
    </row>
    <row r="76" spans="1:16" x14ac:dyDescent="0.2">
      <c r="G76" s="11"/>
      <c r="M76" s="12"/>
      <c r="O76" s="13"/>
    </row>
    <row r="77" spans="1:16" x14ac:dyDescent="0.2">
      <c r="A77" s="14"/>
      <c r="B77" s="15"/>
      <c r="C77" s="15"/>
      <c r="D77" s="15"/>
      <c r="F77" s="15"/>
      <c r="G77" s="17"/>
      <c r="H77" s="14"/>
      <c r="I77" s="14"/>
      <c r="J77" s="14"/>
      <c r="K77" s="14"/>
      <c r="L77" s="14"/>
      <c r="M77" s="12"/>
      <c r="O77" s="18"/>
      <c r="P77" s="14"/>
    </row>
    <row r="78" spans="1:16" x14ac:dyDescent="0.2">
      <c r="G78" s="11"/>
      <c r="M78" s="12"/>
      <c r="O78" s="13"/>
    </row>
    <row r="79" spans="1:16" x14ac:dyDescent="0.2">
      <c r="A79" s="14"/>
      <c r="B79" s="15"/>
      <c r="C79" s="15"/>
      <c r="D79" s="15"/>
      <c r="F79" s="15"/>
      <c r="G79" s="17"/>
      <c r="H79" s="14"/>
      <c r="I79" s="14"/>
      <c r="J79" s="14"/>
      <c r="K79" s="14"/>
      <c r="L79" s="14"/>
      <c r="M79" s="12"/>
      <c r="O79" s="18"/>
      <c r="P79" s="14"/>
    </row>
    <row r="80" spans="1:16" x14ac:dyDescent="0.2">
      <c r="G80" s="11"/>
      <c r="M80" s="12"/>
      <c r="O80" s="13"/>
    </row>
    <row r="81" spans="1:16" x14ac:dyDescent="0.2">
      <c r="A81" s="14"/>
      <c r="B81" s="15"/>
      <c r="C81" s="15"/>
      <c r="D81" s="15"/>
      <c r="F81" s="15"/>
      <c r="G81" s="17"/>
      <c r="H81" s="14"/>
      <c r="I81" s="14"/>
      <c r="J81" s="14"/>
      <c r="K81" s="14"/>
      <c r="L81" s="14"/>
      <c r="M81" s="12"/>
      <c r="O81" s="18"/>
      <c r="P81" s="14"/>
    </row>
    <row r="82" spans="1:16" x14ac:dyDescent="0.2">
      <c r="G82" s="11"/>
      <c r="M82" s="12"/>
      <c r="O82" s="13"/>
    </row>
    <row r="83" spans="1:16" x14ac:dyDescent="0.2">
      <c r="A83" s="14"/>
      <c r="B83" s="15"/>
      <c r="C83" s="15"/>
      <c r="D83" s="15"/>
      <c r="F83" s="15"/>
      <c r="G83" s="17"/>
      <c r="H83" s="14"/>
      <c r="I83" s="14"/>
      <c r="J83" s="14"/>
      <c r="K83" s="14"/>
      <c r="L83" s="14"/>
      <c r="M83" s="12"/>
      <c r="O83" s="18"/>
      <c r="P83" s="14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4" tint="-0.249977111117893"/>
    <pageSetUpPr fitToPage="1"/>
  </sheetPr>
  <dimension ref="A1:X77"/>
  <sheetViews>
    <sheetView zoomScaleNormal="100" workbookViewId="0"/>
  </sheetViews>
  <sheetFormatPr defaultRowHeight="15" x14ac:dyDescent="0.25"/>
  <cols>
    <col min="1" max="1" width="41.140625" customWidth="1"/>
    <col min="20" max="20" width="9.42578125" customWidth="1"/>
  </cols>
  <sheetData>
    <row r="1" spans="1:20" s="217" customFormat="1" ht="15.75" x14ac:dyDescent="0.25">
      <c r="A1" s="63" t="s">
        <v>189</v>
      </c>
    </row>
    <row r="2" spans="1:20" s="217" customFormat="1" x14ac:dyDescent="0.2">
      <c r="A2" s="218"/>
      <c r="G2" s="32" t="s">
        <v>35</v>
      </c>
      <c r="H2" s="62" t="s">
        <v>149</v>
      </c>
      <c r="I2" s="219"/>
      <c r="J2" s="219"/>
      <c r="K2" s="219"/>
      <c r="L2" s="219"/>
      <c r="M2" s="220"/>
      <c r="N2" s="220"/>
      <c r="O2" s="220"/>
      <c r="P2" s="220"/>
      <c r="Q2" s="220"/>
      <c r="R2" s="220"/>
      <c r="S2" s="220"/>
      <c r="T2" s="220"/>
    </row>
    <row r="3" spans="1:20" s="217" customFormat="1" ht="15.75" x14ac:dyDescent="0.2">
      <c r="A3" s="51" t="s">
        <v>69</v>
      </c>
      <c r="B3" s="51"/>
      <c r="C3" s="52"/>
      <c r="D3" s="52"/>
      <c r="E3" s="200"/>
      <c r="F3" s="200"/>
      <c r="G3" s="32" t="s">
        <v>34</v>
      </c>
      <c r="H3" s="62" t="s">
        <v>110</v>
      </c>
      <c r="I3" s="219"/>
      <c r="J3" s="219"/>
      <c r="K3" s="219"/>
      <c r="L3" s="219"/>
      <c r="M3" s="221"/>
      <c r="N3" s="221"/>
      <c r="O3" s="221"/>
      <c r="P3" s="221"/>
      <c r="Q3" s="221"/>
      <c r="R3" s="221"/>
      <c r="S3" s="220"/>
      <c r="T3" s="220"/>
    </row>
    <row r="4" spans="1:20" s="133" customFormat="1" ht="15" customHeight="1" x14ac:dyDescent="0.2">
      <c r="A4" s="51" t="s">
        <v>70</v>
      </c>
      <c r="B4" s="51"/>
      <c r="C4" s="52"/>
      <c r="D4" s="52"/>
      <c r="E4" s="200"/>
      <c r="F4" s="200"/>
      <c r="G4" s="32" t="s">
        <v>108</v>
      </c>
      <c r="H4" s="62" t="s">
        <v>111</v>
      </c>
      <c r="I4" s="219"/>
      <c r="J4" s="219"/>
      <c r="K4" s="219"/>
      <c r="L4" s="219"/>
      <c r="M4" s="219"/>
      <c r="N4" s="219"/>
      <c r="O4" s="219"/>
      <c r="P4" s="219"/>
      <c r="Q4" s="219"/>
      <c r="R4" s="222"/>
      <c r="S4" s="222"/>
      <c r="T4" s="222"/>
    </row>
    <row r="5" spans="1:20" s="133" customFormat="1" ht="15" customHeight="1" x14ac:dyDescent="0.2">
      <c r="A5" s="51" t="s">
        <v>71</v>
      </c>
      <c r="B5" s="51"/>
      <c r="C5" s="52"/>
      <c r="D5" s="52"/>
      <c r="E5" s="200"/>
      <c r="F5" s="200"/>
      <c r="G5" s="32" t="s">
        <v>89</v>
      </c>
      <c r="H5" s="62" t="s">
        <v>112</v>
      </c>
      <c r="I5" s="219"/>
      <c r="J5" s="219"/>
      <c r="K5" s="219"/>
      <c r="L5" s="219"/>
      <c r="M5" s="219"/>
      <c r="N5" s="219"/>
      <c r="O5" s="219"/>
      <c r="P5" s="219"/>
      <c r="Q5" s="219"/>
      <c r="R5" s="222"/>
      <c r="S5" s="222"/>
      <c r="T5" s="222"/>
    </row>
    <row r="6" spans="1:20" s="133" customFormat="1" ht="15" customHeight="1" x14ac:dyDescent="0.2">
      <c r="A6" s="51" t="s">
        <v>72</v>
      </c>
      <c r="B6" s="51"/>
      <c r="C6" s="52"/>
      <c r="D6" s="52"/>
      <c r="E6" s="200"/>
      <c r="F6" s="200"/>
      <c r="G6" s="32" t="s">
        <v>88</v>
      </c>
      <c r="H6" s="62" t="s">
        <v>137</v>
      </c>
      <c r="I6" s="219"/>
      <c r="J6" s="219"/>
      <c r="K6" s="219"/>
      <c r="L6" s="219"/>
      <c r="M6" s="219"/>
      <c r="N6" s="219"/>
      <c r="O6" s="219"/>
      <c r="P6" s="219"/>
      <c r="Q6" s="219"/>
      <c r="R6" s="222"/>
      <c r="S6" s="222"/>
      <c r="T6" s="222"/>
    </row>
    <row r="7" spans="1:20" s="133" customFormat="1" ht="15" customHeight="1" x14ac:dyDescent="0.2">
      <c r="A7" s="51" t="s">
        <v>73</v>
      </c>
      <c r="B7" s="51"/>
      <c r="C7" s="52"/>
      <c r="D7" s="52"/>
      <c r="E7" s="200"/>
      <c r="F7" s="200"/>
      <c r="G7" s="32" t="s">
        <v>89</v>
      </c>
      <c r="H7" s="62" t="s">
        <v>90</v>
      </c>
      <c r="I7" s="219"/>
      <c r="J7" s="219"/>
      <c r="K7" s="219"/>
      <c r="L7" s="219"/>
      <c r="M7" s="219"/>
      <c r="N7" s="219"/>
      <c r="O7" s="219"/>
      <c r="P7" s="219"/>
      <c r="Q7" s="219"/>
      <c r="R7" s="222"/>
      <c r="S7" s="222"/>
      <c r="T7" s="222"/>
    </row>
    <row r="8" spans="1:20" s="133" customFormat="1" ht="15" customHeight="1" x14ac:dyDescent="0.2">
      <c r="A8" s="51" t="s">
        <v>74</v>
      </c>
      <c r="B8" s="51"/>
      <c r="C8" s="52"/>
      <c r="D8" s="52"/>
      <c r="E8" s="200"/>
      <c r="F8" s="200"/>
      <c r="G8" s="32" t="s">
        <v>91</v>
      </c>
      <c r="H8" s="62" t="s">
        <v>92</v>
      </c>
      <c r="I8" s="219"/>
      <c r="J8" s="219"/>
      <c r="K8" s="219"/>
      <c r="L8" s="219"/>
      <c r="M8" s="219"/>
      <c r="N8" s="219"/>
      <c r="O8" s="219"/>
      <c r="P8" s="219"/>
      <c r="Q8" s="219"/>
      <c r="R8" s="222"/>
      <c r="S8" s="222"/>
      <c r="T8" s="222"/>
    </row>
    <row r="9" spans="1:20" s="133" customFormat="1" ht="15" customHeight="1" x14ac:dyDescent="0.2">
      <c r="A9" s="51" t="s">
        <v>75</v>
      </c>
      <c r="B9" s="51"/>
      <c r="C9" s="52"/>
      <c r="D9" s="52"/>
      <c r="E9" s="200"/>
      <c r="F9" s="200"/>
      <c r="G9" s="32" t="s">
        <v>93</v>
      </c>
      <c r="H9" s="62" t="s">
        <v>138</v>
      </c>
      <c r="I9" s="219"/>
      <c r="J9" s="219"/>
      <c r="K9" s="219"/>
      <c r="L9" s="219"/>
      <c r="M9" s="219"/>
      <c r="N9" s="219"/>
      <c r="O9" s="219"/>
      <c r="P9" s="219"/>
      <c r="Q9" s="219"/>
      <c r="R9" s="222"/>
      <c r="S9" s="222"/>
      <c r="T9" s="222"/>
    </row>
    <row r="10" spans="1:20" s="133" customFormat="1" ht="15" customHeight="1" x14ac:dyDescent="0.2">
      <c r="A10" s="51" t="s">
        <v>76</v>
      </c>
      <c r="B10" s="51"/>
      <c r="C10" s="52"/>
      <c r="D10" s="52"/>
      <c r="E10" s="200"/>
      <c r="F10" s="200"/>
      <c r="G10" s="65" t="s">
        <v>94</v>
      </c>
      <c r="H10" s="66" t="s">
        <v>140</v>
      </c>
      <c r="I10" s="219"/>
      <c r="J10" s="219"/>
      <c r="K10" s="219"/>
      <c r="L10" s="219"/>
      <c r="M10" s="219"/>
      <c r="N10" s="219"/>
      <c r="O10" s="219"/>
      <c r="P10" s="219"/>
      <c r="Q10" s="219"/>
      <c r="R10" s="222"/>
      <c r="S10" s="222"/>
      <c r="T10" s="222"/>
    </row>
    <row r="11" spans="1:20" s="133" customFormat="1" ht="15" customHeight="1" x14ac:dyDescent="0.2">
      <c r="A11" s="51" t="s">
        <v>136</v>
      </c>
      <c r="B11" s="51"/>
      <c r="C11" s="52"/>
      <c r="D11" s="52"/>
      <c r="E11" s="200"/>
      <c r="F11" s="200"/>
      <c r="G11" s="32" t="s">
        <v>95</v>
      </c>
      <c r="H11" s="62" t="s">
        <v>96</v>
      </c>
      <c r="I11" s="219"/>
      <c r="J11" s="219"/>
      <c r="K11" s="219"/>
      <c r="L11" s="219"/>
      <c r="M11" s="219"/>
      <c r="N11" s="219"/>
      <c r="O11" s="219"/>
      <c r="P11" s="219"/>
      <c r="Q11" s="219"/>
      <c r="R11" s="222"/>
      <c r="S11" s="222"/>
      <c r="T11" s="222"/>
    </row>
    <row r="12" spans="1:20" s="133" customFormat="1" ht="15" customHeight="1" x14ac:dyDescent="0.2">
      <c r="F12" s="205"/>
      <c r="G12" s="32" t="s">
        <v>97</v>
      </c>
      <c r="H12" s="66" t="s">
        <v>139</v>
      </c>
      <c r="I12" s="219"/>
      <c r="J12" s="219"/>
      <c r="K12" s="219"/>
      <c r="L12" s="219"/>
      <c r="M12" s="219"/>
      <c r="N12" s="219"/>
      <c r="O12" s="219"/>
      <c r="P12" s="219"/>
      <c r="Q12" s="219"/>
      <c r="R12" s="222"/>
      <c r="S12" s="222"/>
      <c r="T12" s="222"/>
    </row>
    <row r="13" spans="1:20" s="133" customFormat="1" ht="15" customHeight="1" x14ac:dyDescent="0.2">
      <c r="A13" s="218"/>
      <c r="B13" s="71"/>
      <c r="C13" s="72"/>
      <c r="D13" s="72"/>
      <c r="E13" s="205"/>
      <c r="F13" s="205"/>
      <c r="G13" s="32" t="s">
        <v>141</v>
      </c>
      <c r="H13" s="62" t="s">
        <v>155</v>
      </c>
      <c r="I13" s="219"/>
      <c r="J13" s="219"/>
      <c r="K13" s="219"/>
      <c r="L13" s="219"/>
      <c r="M13" s="219"/>
      <c r="N13" s="219"/>
      <c r="O13" s="219"/>
      <c r="P13" s="219"/>
      <c r="Q13" s="219"/>
      <c r="R13" s="222"/>
      <c r="S13" s="222"/>
      <c r="T13" s="222"/>
    </row>
    <row r="14" spans="1:20" s="133" customFormat="1" ht="15" customHeight="1" x14ac:dyDescent="0.2">
      <c r="A14" s="71"/>
      <c r="B14" s="71"/>
      <c r="C14" s="72"/>
      <c r="D14" s="72"/>
      <c r="E14" s="205"/>
      <c r="F14" s="205"/>
      <c r="G14" s="222"/>
      <c r="H14" s="62" t="s">
        <v>98</v>
      </c>
      <c r="I14" s="219"/>
      <c r="J14" s="219"/>
      <c r="K14" s="219"/>
      <c r="L14" s="219"/>
      <c r="M14" s="219"/>
      <c r="N14" s="219"/>
      <c r="O14" s="219"/>
      <c r="P14" s="219"/>
      <c r="Q14" s="219"/>
      <c r="R14" s="222"/>
      <c r="S14" s="222"/>
      <c r="T14" s="222"/>
    </row>
    <row r="15" spans="1:20" s="133" customFormat="1" ht="15" customHeight="1" x14ac:dyDescent="0.2">
      <c r="F15" s="205"/>
      <c r="G15" s="32" t="s">
        <v>161</v>
      </c>
      <c r="H15" s="62" t="s">
        <v>162</v>
      </c>
      <c r="I15" s="222"/>
      <c r="J15" s="219"/>
      <c r="K15" s="219"/>
      <c r="L15" s="219"/>
      <c r="M15" s="219"/>
      <c r="N15" s="219"/>
      <c r="O15" s="219"/>
      <c r="P15" s="219"/>
      <c r="Q15" s="219"/>
      <c r="R15" s="222"/>
      <c r="S15" s="222"/>
      <c r="T15" s="222"/>
    </row>
    <row r="16" spans="1:20" s="50" customFormat="1" ht="15" customHeight="1" x14ac:dyDescent="0.25">
      <c r="A16" s="51" t="s">
        <v>77</v>
      </c>
      <c r="B16" s="51" t="s">
        <v>78</v>
      </c>
      <c r="C16" s="51"/>
      <c r="D16" s="51"/>
      <c r="E16" s="52"/>
      <c r="F16" s="52"/>
      <c r="G16" s="52"/>
      <c r="H16" s="53"/>
      <c r="I16" s="53"/>
      <c r="J16" s="53"/>
      <c r="K16" s="53"/>
      <c r="L16" s="100"/>
      <c r="M16" s="53"/>
      <c r="N16" s="53"/>
      <c r="O16" s="53"/>
      <c r="P16" s="53"/>
      <c r="Q16" s="53"/>
      <c r="R16" s="53"/>
      <c r="S16" s="53"/>
      <c r="T16" s="100"/>
    </row>
    <row r="17" spans="1:24" s="50" customFormat="1" ht="15" customHeight="1" x14ac:dyDescent="0.25">
      <c r="A17" s="32" t="s">
        <v>32</v>
      </c>
      <c r="B17" s="33">
        <v>700</v>
      </c>
      <c r="C17" s="33">
        <v>751</v>
      </c>
      <c r="D17" s="99">
        <v>700</v>
      </c>
      <c r="E17" s="99">
        <v>751</v>
      </c>
      <c r="F17" s="99">
        <v>700</v>
      </c>
      <c r="G17" s="99">
        <v>700</v>
      </c>
      <c r="H17" s="105">
        <v>700</v>
      </c>
      <c r="I17" s="105">
        <v>702</v>
      </c>
      <c r="J17" s="99">
        <v>700</v>
      </c>
      <c r="K17" s="105">
        <v>602</v>
      </c>
      <c r="L17" s="99">
        <v>610</v>
      </c>
      <c r="M17" s="99">
        <v>710</v>
      </c>
      <c r="N17" s="99">
        <v>700</v>
      </c>
      <c r="O17" s="105">
        <v>700</v>
      </c>
      <c r="P17" s="99">
        <v>751</v>
      </c>
      <c r="Q17" s="99">
        <v>751</v>
      </c>
      <c r="R17" s="99">
        <v>700</v>
      </c>
      <c r="S17" s="99">
        <v>700</v>
      </c>
      <c r="T17" s="157">
        <v>701</v>
      </c>
    </row>
    <row r="18" spans="1:24" s="50" customFormat="1" ht="15" customHeight="1" x14ac:dyDescent="0.25">
      <c r="A18" s="34" t="s">
        <v>33</v>
      </c>
      <c r="B18" s="35" t="s">
        <v>34</v>
      </c>
      <c r="C18" s="35" t="s">
        <v>35</v>
      </c>
      <c r="D18" s="97" t="s">
        <v>24</v>
      </c>
      <c r="E18" s="97" t="s">
        <v>35</v>
      </c>
      <c r="F18" s="97" t="s">
        <v>34</v>
      </c>
      <c r="G18" s="97" t="s">
        <v>35</v>
      </c>
      <c r="H18" s="104" t="s">
        <v>34</v>
      </c>
      <c r="I18" s="104" t="s">
        <v>34</v>
      </c>
      <c r="J18" s="97" t="s">
        <v>34</v>
      </c>
      <c r="K18" s="104" t="s">
        <v>24</v>
      </c>
      <c r="L18" s="97" t="s">
        <v>35</v>
      </c>
      <c r="M18" s="97" t="s">
        <v>34</v>
      </c>
      <c r="N18" s="97" t="s">
        <v>24</v>
      </c>
      <c r="O18" s="104" t="s">
        <v>34</v>
      </c>
      <c r="P18" s="97" t="s">
        <v>35</v>
      </c>
      <c r="Q18" s="97" t="s">
        <v>35</v>
      </c>
      <c r="R18" s="97" t="s">
        <v>183</v>
      </c>
      <c r="S18" s="104" t="s">
        <v>34</v>
      </c>
      <c r="T18" s="35" t="s">
        <v>34</v>
      </c>
      <c r="X18" s="55"/>
    </row>
    <row r="19" spans="1:24" s="54" customFormat="1" ht="15" customHeight="1" x14ac:dyDescent="0.25">
      <c r="A19" s="65" t="s">
        <v>106</v>
      </c>
      <c r="B19" s="38"/>
      <c r="C19" s="38"/>
      <c r="D19" s="99"/>
      <c r="E19" s="99"/>
      <c r="F19" s="99"/>
      <c r="G19" s="99"/>
      <c r="H19" s="105"/>
      <c r="I19" s="111"/>
      <c r="J19" s="105"/>
      <c r="K19" s="111"/>
      <c r="L19" s="99"/>
      <c r="M19" s="99"/>
      <c r="N19" s="99"/>
      <c r="O19" s="105"/>
      <c r="P19" s="99" t="s">
        <v>94</v>
      </c>
      <c r="Q19" s="99"/>
      <c r="R19" s="105"/>
      <c r="S19" s="105"/>
      <c r="T19" s="111" t="s">
        <v>159</v>
      </c>
      <c r="X19" s="55"/>
    </row>
    <row r="20" spans="1:24" s="54" customFormat="1" ht="15" customHeight="1" x14ac:dyDescent="0.25">
      <c r="A20" s="68" t="s">
        <v>36</v>
      </c>
      <c r="B20" s="115">
        <f>'Kohde 12 TALVI Ma-Pe KP'!G14</f>
        <v>0.2986111111111111</v>
      </c>
      <c r="C20" s="115"/>
      <c r="D20" s="115">
        <f>'Kohde 12 TALVI La'!G14</f>
        <v>0.32291666665696539</v>
      </c>
      <c r="E20" s="114"/>
      <c r="F20" s="115">
        <f>'Kohde 12 TALVI Ma-Pe KP'!G32</f>
        <v>0.34027777777777773</v>
      </c>
      <c r="G20" s="115">
        <f>'Kohde 12 TALVI Ma-Pe KP'!G45</f>
        <v>0.38194444444444442</v>
      </c>
      <c r="H20" s="115">
        <f>'Kohde 12 TALVI Ma-Pe KP'!G17</f>
        <v>0.4236111111111111</v>
      </c>
      <c r="I20" s="115">
        <f>'Kohde 12 TALVI Ma-Pe KP'!G19</f>
        <v>0.50347222222222221</v>
      </c>
      <c r="J20" s="115">
        <f>'Kohde 12 TALVI Ma-Pe KP'!G35</f>
        <v>0.55208333333333337</v>
      </c>
      <c r="K20" s="115">
        <f>'Kohde 12 TALVI La'!G17</f>
        <v>0.55555555555555558</v>
      </c>
      <c r="L20" s="69"/>
      <c r="M20" s="115">
        <f>'Kohde 12 TALVI Ma-Pe KP'!G21</f>
        <v>0.59722222222222221</v>
      </c>
      <c r="N20" s="115">
        <f>'Kohde 12 TALVI La'!G19</f>
        <v>0.62152777777777757</v>
      </c>
      <c r="O20" s="148">
        <f>'Kohde 12 TALVI Ma-Pe KP'!G37</f>
        <v>0.63888888888888895</v>
      </c>
      <c r="P20" s="115"/>
      <c r="Q20" s="69"/>
      <c r="R20" s="115">
        <f>'Kohde 12 TALVI Ma-Pe KP'!G23</f>
        <v>0.68055555555555547</v>
      </c>
      <c r="S20" s="115">
        <f>'Kohde 12 TALVI Ma-Pe KP'!G25</f>
        <v>0.76388888888888884</v>
      </c>
      <c r="T20" s="115">
        <f>'Kohde 12 TALVI Ma-Pe KP'!G27</f>
        <v>0.84722222222222221</v>
      </c>
      <c r="X20" s="55"/>
    </row>
    <row r="21" spans="1:24" s="54" customFormat="1" ht="15" customHeight="1" x14ac:dyDescent="0.25">
      <c r="A21" s="67" t="s">
        <v>109</v>
      </c>
      <c r="B21" s="81" t="s">
        <v>38</v>
      </c>
      <c r="C21" s="81"/>
      <c r="D21" s="81" t="s">
        <v>38</v>
      </c>
      <c r="E21" s="81"/>
      <c r="F21" s="81" t="s">
        <v>38</v>
      </c>
      <c r="G21" s="81" t="s">
        <v>38</v>
      </c>
      <c r="H21" s="81" t="s">
        <v>38</v>
      </c>
      <c r="I21" s="81" t="s">
        <v>38</v>
      </c>
      <c r="J21" s="81" t="s">
        <v>38</v>
      </c>
      <c r="K21" s="81" t="s">
        <v>38</v>
      </c>
      <c r="L21" s="113">
        <f>'Kohde 12 TALVI Ma-Pe KP'!G48</f>
        <v>0.59375</v>
      </c>
      <c r="M21" s="81" t="s">
        <v>38</v>
      </c>
      <c r="N21" s="81" t="s">
        <v>38</v>
      </c>
      <c r="O21" s="81" t="s">
        <v>38</v>
      </c>
      <c r="P21" s="81"/>
      <c r="Q21" s="113"/>
      <c r="R21" s="81" t="s">
        <v>38</v>
      </c>
      <c r="S21" s="81" t="s">
        <v>38</v>
      </c>
      <c r="T21" s="81" t="s">
        <v>38</v>
      </c>
      <c r="X21" s="55"/>
    </row>
    <row r="22" spans="1:24" s="54" customFormat="1" ht="15" customHeight="1" x14ac:dyDescent="0.25">
      <c r="A22" s="36" t="s">
        <v>37</v>
      </c>
      <c r="B22" s="114">
        <f>'Kohde 12 TALVI Ma-Pe LP'!I14</f>
        <v>0.30138888888888887</v>
      </c>
      <c r="C22" s="114"/>
      <c r="D22" s="114">
        <f>'Kohde 12 TALVI La'!I14</f>
        <v>0.32569444443474316</v>
      </c>
      <c r="E22" s="114"/>
      <c r="F22" s="114">
        <f>'Kohde 12 TALVI Ma-Pe KP'!I32</f>
        <v>0.3430555555555555</v>
      </c>
      <c r="G22" s="114">
        <f>'Kohde 12 TALVI Ma-Pe KP'!I45</f>
        <v>0.38472222222222219</v>
      </c>
      <c r="H22" s="114">
        <f>'Kohde 12 TALVI Ma-Pe KP'!I17</f>
        <v>0.42569444444444443</v>
      </c>
      <c r="I22" s="114">
        <f>'Kohde 12 TALVI Ma-Pe KP'!I19</f>
        <v>0.50624999999999998</v>
      </c>
      <c r="J22" s="114">
        <f>'Kohde 12 TALVI Ma-Pe KP'!I35</f>
        <v>0.55486111111111114</v>
      </c>
      <c r="K22" s="114" t="s">
        <v>38</v>
      </c>
      <c r="L22" s="114" t="s">
        <v>38</v>
      </c>
      <c r="M22" s="114">
        <f>'Kohde 12 TALVI Ma-Pe KP'!I21</f>
        <v>0.6</v>
      </c>
      <c r="N22" s="114">
        <f>'Kohde 12 TALVI La'!I19</f>
        <v>0.62430555555555534</v>
      </c>
      <c r="O22" s="114">
        <f>'Kohde 12 TALVI Ma-Pe LP'!I36</f>
        <v>0.64513888888888882</v>
      </c>
      <c r="P22" s="114"/>
      <c r="Q22" s="114"/>
      <c r="R22" s="114">
        <f>'Kohde 12 TALVI Ma-Pe KP'!I23</f>
        <v>0.68333333333333324</v>
      </c>
      <c r="S22" s="114">
        <f>'Kohde 12 TALVI Ma-Pe KP'!I25</f>
        <v>0.76666666666666661</v>
      </c>
      <c r="T22" s="114">
        <f>'Kohde 12 TALVI Ma-Pe KP'!I27</f>
        <v>0.85</v>
      </c>
      <c r="X22" s="55"/>
    </row>
    <row r="23" spans="1:24" s="54" customFormat="1" ht="15" customHeight="1" x14ac:dyDescent="0.25">
      <c r="A23" s="39" t="s">
        <v>54</v>
      </c>
      <c r="B23" s="81">
        <f>'Kohde 12 TALVI Ma-Pe KP'!K14</f>
        <v>0.31388888888888888</v>
      </c>
      <c r="C23" s="81"/>
      <c r="D23" s="81">
        <f>'Kohde 12 TALVI La'!K14</f>
        <v>0.33819444443474317</v>
      </c>
      <c r="E23" s="81"/>
      <c r="F23" s="81">
        <f>'Kohde 12 TALVI Ma-Pe KP'!K32</f>
        <v>0.35555555555555551</v>
      </c>
      <c r="G23" s="81">
        <f>'Kohde 12 TALVI Ma-Pe KP'!K45</f>
        <v>0.3972222222222222</v>
      </c>
      <c r="H23" s="81">
        <f>'Kohde 12 TALVI Ma-Pe KP'!K17</f>
        <v>0.43819444444444444</v>
      </c>
      <c r="I23" s="81">
        <f>'Kohde 12 TALVI Ma-Pe KP'!K19</f>
        <v>0.51874999999999993</v>
      </c>
      <c r="J23" s="81">
        <f>'Kohde 12 TALVI Ma-Pe KP'!K35</f>
        <v>0.56736111111111109</v>
      </c>
      <c r="K23" s="81" t="s">
        <v>38</v>
      </c>
      <c r="L23" s="81" t="s">
        <v>38</v>
      </c>
      <c r="M23" s="81">
        <f>'Kohde 12 TALVI Ma-Pe KP'!K21</f>
        <v>0.61249999999999993</v>
      </c>
      <c r="N23" s="81">
        <f>'Kohde 12 TALVI La'!K19</f>
        <v>0.63680555555555529</v>
      </c>
      <c r="O23" s="81">
        <f>'Kohde 12 TALVI Ma-Pe LP'!K36</f>
        <v>0.65763888888888877</v>
      </c>
      <c r="P23" s="81"/>
      <c r="Q23" s="81"/>
      <c r="R23" s="81">
        <f>'Kohde 12 TALVI Ma-Pe KP'!K23</f>
        <v>0.69583333333333319</v>
      </c>
      <c r="S23" s="81">
        <f>'Kohde 12 TALVI Ma-Pe KP'!K25</f>
        <v>0.77916666666666656</v>
      </c>
      <c r="T23" s="81">
        <f>'Kohde 12 TALVI Ma-Pe KP'!K27</f>
        <v>0.86180555555555549</v>
      </c>
      <c r="U23" s="64"/>
      <c r="X23" s="55"/>
    </row>
    <row r="24" spans="1:24" s="54" customFormat="1" ht="15" customHeight="1" x14ac:dyDescent="0.25">
      <c r="A24" s="36" t="s">
        <v>103</v>
      </c>
      <c r="B24" s="114" t="s">
        <v>38</v>
      </c>
      <c r="C24" s="114"/>
      <c r="D24" s="114" t="s">
        <v>38</v>
      </c>
      <c r="E24" s="114"/>
      <c r="F24" s="114" t="s">
        <v>38</v>
      </c>
      <c r="G24" s="114" t="s">
        <v>38</v>
      </c>
      <c r="H24" s="114" t="s">
        <v>38</v>
      </c>
      <c r="I24" s="114" t="s">
        <v>38</v>
      </c>
      <c r="J24" s="114" t="s">
        <v>38</v>
      </c>
      <c r="K24" s="114">
        <f>'Kohde 12 TALVI La'!I17</f>
        <v>0.56736111111111109</v>
      </c>
      <c r="L24" s="114" t="s">
        <v>99</v>
      </c>
      <c r="M24" s="114" t="s">
        <v>38</v>
      </c>
      <c r="N24" s="114" t="s">
        <v>38</v>
      </c>
      <c r="O24" s="114" t="s">
        <v>38</v>
      </c>
      <c r="P24" s="114"/>
      <c r="Q24" s="114"/>
      <c r="R24" s="114" t="s">
        <v>38</v>
      </c>
      <c r="S24" s="114" t="s">
        <v>38</v>
      </c>
      <c r="T24" s="114" t="s">
        <v>38</v>
      </c>
      <c r="U24" s="64"/>
      <c r="X24" s="55"/>
    </row>
    <row r="25" spans="1:24" s="54" customFormat="1" ht="15" customHeight="1" x14ac:dyDescent="0.25">
      <c r="A25" s="39" t="s">
        <v>101</v>
      </c>
      <c r="B25" s="81" t="s">
        <v>38</v>
      </c>
      <c r="C25" s="113">
        <f>'Kohde 12 TALVI Ma-Pe KP'!G42</f>
        <v>0.30208333333333331</v>
      </c>
      <c r="D25" s="81" t="s">
        <v>38</v>
      </c>
      <c r="E25" s="113">
        <f>'Kohde 12 TALVI Ma-Pe KP'!G56</f>
        <v>0.33888888888888885</v>
      </c>
      <c r="F25" s="81" t="s">
        <v>38</v>
      </c>
      <c r="G25" s="81" t="s">
        <v>38</v>
      </c>
      <c r="H25" s="81" t="s">
        <v>38</v>
      </c>
      <c r="I25" s="81" t="s">
        <v>38</v>
      </c>
      <c r="J25" s="81" t="s">
        <v>38</v>
      </c>
      <c r="K25" s="81" t="s">
        <v>38</v>
      </c>
      <c r="L25" s="81" t="s">
        <v>38</v>
      </c>
      <c r="M25" s="81" t="s">
        <v>38</v>
      </c>
      <c r="N25" s="81" t="s">
        <v>38</v>
      </c>
      <c r="O25" s="81" t="s">
        <v>38</v>
      </c>
      <c r="P25" s="113">
        <v>0.64583333333333337</v>
      </c>
      <c r="Q25" s="113">
        <f>'Kohde 12 TALVI Ma-Pe KP'!G52</f>
        <v>0.69652777777777763</v>
      </c>
      <c r="R25" s="81" t="s">
        <v>38</v>
      </c>
      <c r="S25" s="81" t="s">
        <v>38</v>
      </c>
      <c r="T25" s="81" t="s">
        <v>38</v>
      </c>
      <c r="X25" s="55"/>
    </row>
    <row r="26" spans="1:24" s="54" customFormat="1" ht="15" customHeight="1" x14ac:dyDescent="0.25">
      <c r="A26" s="36" t="s">
        <v>79</v>
      </c>
      <c r="B26" s="114" t="s">
        <v>38</v>
      </c>
      <c r="C26" s="114">
        <f>'Kohde 12 TALVI Ma-Pe KP'!K42</f>
        <v>0.30694444444444441</v>
      </c>
      <c r="D26" s="114" t="s">
        <v>38</v>
      </c>
      <c r="E26" s="116">
        <f>'Kohde 12 TALVI Ma-Pe KP'!K56</f>
        <v>0.34374999999999994</v>
      </c>
      <c r="F26" s="114" t="s">
        <v>38</v>
      </c>
      <c r="G26" s="114" t="s">
        <v>38</v>
      </c>
      <c r="H26" s="114" t="s">
        <v>38</v>
      </c>
      <c r="I26" s="114" t="s">
        <v>38</v>
      </c>
      <c r="J26" s="114" t="s">
        <v>38</v>
      </c>
      <c r="K26" s="114" t="s">
        <v>99</v>
      </c>
      <c r="L26" s="114" t="s">
        <v>38</v>
      </c>
      <c r="M26" s="114" t="s">
        <v>38</v>
      </c>
      <c r="N26" s="114" t="s">
        <v>38</v>
      </c>
      <c r="O26" s="114" t="s">
        <v>38</v>
      </c>
      <c r="P26" s="116">
        <f>'Kohde 12 TALVI Ma-Pe KP'!K50</f>
        <v>0.6513888888888888</v>
      </c>
      <c r="Q26" s="114">
        <f>'Kohde 12 TALVI Ma-Pe KP'!K52</f>
        <v>0.69999999999999984</v>
      </c>
      <c r="R26" s="114" t="s">
        <v>38</v>
      </c>
      <c r="S26" s="114" t="s">
        <v>38</v>
      </c>
      <c r="T26" s="114" t="s">
        <v>38</v>
      </c>
      <c r="X26" s="55"/>
    </row>
    <row r="27" spans="1:24" s="54" customFormat="1" ht="15" customHeight="1" x14ac:dyDescent="0.25">
      <c r="A27" s="39" t="s">
        <v>55</v>
      </c>
      <c r="B27" s="81" t="s">
        <v>38</v>
      </c>
      <c r="C27" s="81">
        <f>'Kohde 12 TALVI Ma-Pe KP'!M42</f>
        <v>0.31249999999999994</v>
      </c>
      <c r="D27" s="81" t="s">
        <v>38</v>
      </c>
      <c r="E27" s="81">
        <f>'Kohde 12 TALVI Ma-Pe KP'!O56</f>
        <v>0.34930555555555548</v>
      </c>
      <c r="F27" s="81" t="s">
        <v>38</v>
      </c>
      <c r="G27" s="81" t="s">
        <v>38</v>
      </c>
      <c r="H27" s="81" t="s">
        <v>38</v>
      </c>
      <c r="I27" s="81" t="s">
        <v>38</v>
      </c>
      <c r="J27" s="81" t="s">
        <v>38</v>
      </c>
      <c r="K27" s="81">
        <f>'Kohde 12 TALVI La'!M17</f>
        <v>0.57986111111111105</v>
      </c>
      <c r="L27" s="81" t="s">
        <v>38</v>
      </c>
      <c r="M27" s="81" t="s">
        <v>39</v>
      </c>
      <c r="N27" s="81" t="s">
        <v>39</v>
      </c>
      <c r="O27" s="81" t="s">
        <v>39</v>
      </c>
      <c r="P27" s="81">
        <f>'Kohde 12 TALVI Ma-Pe KP'!O50</f>
        <v>0.65763888888888877</v>
      </c>
      <c r="Q27" s="81">
        <f>'Kohde 12 TALVI Ma-Pe KP'!M52</f>
        <v>0.70347222222222205</v>
      </c>
      <c r="R27" s="81" t="s">
        <v>38</v>
      </c>
      <c r="S27" s="81" t="s">
        <v>38</v>
      </c>
      <c r="T27" s="81" t="s">
        <v>38</v>
      </c>
      <c r="X27" s="55"/>
    </row>
    <row r="28" spans="1:24" s="54" customFormat="1" ht="15" customHeight="1" x14ac:dyDescent="0.25">
      <c r="A28" s="36" t="s">
        <v>63</v>
      </c>
      <c r="B28" s="114" t="s">
        <v>38</v>
      </c>
      <c r="C28" s="114" t="s">
        <v>38</v>
      </c>
      <c r="D28" s="114" t="s">
        <v>38</v>
      </c>
      <c r="E28" s="114" t="s">
        <v>38</v>
      </c>
      <c r="F28" s="114" t="s">
        <v>38</v>
      </c>
      <c r="G28" s="114" t="s">
        <v>38</v>
      </c>
      <c r="H28" s="114" t="s">
        <v>38</v>
      </c>
      <c r="I28" s="114" t="s">
        <v>38</v>
      </c>
      <c r="J28" s="114" t="s">
        <v>38</v>
      </c>
      <c r="K28" s="114" t="s">
        <v>38</v>
      </c>
      <c r="L28" s="114" t="s">
        <v>38</v>
      </c>
      <c r="M28" s="114">
        <f>'Kohde 12 TALVI Ma-Pe KP'!M21</f>
        <v>0.6201388888888888</v>
      </c>
      <c r="N28" s="114" t="s">
        <v>38</v>
      </c>
      <c r="O28" s="114" t="s">
        <v>38</v>
      </c>
      <c r="P28" s="114"/>
      <c r="Q28" s="114" t="s">
        <v>38</v>
      </c>
      <c r="R28" s="114" t="s">
        <v>38</v>
      </c>
      <c r="S28" s="114" t="s">
        <v>38</v>
      </c>
      <c r="T28" s="114" t="s">
        <v>38</v>
      </c>
      <c r="X28" s="55"/>
    </row>
    <row r="29" spans="1:24" s="54" customFormat="1" ht="15" customHeight="1" x14ac:dyDescent="0.25">
      <c r="A29" s="39" t="s">
        <v>64</v>
      </c>
      <c r="B29" s="81" t="s">
        <v>38</v>
      </c>
      <c r="C29" s="81" t="s">
        <v>38</v>
      </c>
      <c r="D29" s="81" t="s">
        <v>38</v>
      </c>
      <c r="E29" s="81" t="s">
        <v>38</v>
      </c>
      <c r="F29" s="81" t="s">
        <v>38</v>
      </c>
      <c r="G29" s="81" t="s">
        <v>38</v>
      </c>
      <c r="H29" s="81" t="s">
        <v>38</v>
      </c>
      <c r="I29" s="81" t="s">
        <v>38</v>
      </c>
      <c r="J29" s="81" t="s">
        <v>38</v>
      </c>
      <c r="K29" s="81" t="s">
        <v>38</v>
      </c>
      <c r="L29" s="81" t="s">
        <v>38</v>
      </c>
      <c r="M29" s="81">
        <f>'Kohde 12 TALVI Ma-Pe KP'!O21</f>
        <v>0.62499999999999989</v>
      </c>
      <c r="N29" s="81" t="s">
        <v>38</v>
      </c>
      <c r="O29" s="81" t="s">
        <v>38</v>
      </c>
      <c r="P29" s="81"/>
      <c r="Q29" s="81" t="s">
        <v>38</v>
      </c>
      <c r="R29" s="81" t="s">
        <v>38</v>
      </c>
      <c r="S29" s="81" t="s">
        <v>38</v>
      </c>
      <c r="T29" s="81" t="s">
        <v>38</v>
      </c>
      <c r="X29" s="55"/>
    </row>
    <row r="30" spans="1:24" s="54" customFormat="1" ht="15" customHeight="1" x14ac:dyDescent="0.25">
      <c r="A30" s="36" t="s">
        <v>29</v>
      </c>
      <c r="B30" s="114" t="s">
        <v>38</v>
      </c>
      <c r="C30" s="114" t="s">
        <v>38</v>
      </c>
      <c r="D30" s="114" t="s">
        <v>38</v>
      </c>
      <c r="E30" s="114" t="s">
        <v>38</v>
      </c>
      <c r="F30" s="114" t="s">
        <v>38</v>
      </c>
      <c r="G30" s="114" t="s">
        <v>38</v>
      </c>
      <c r="H30" s="114" t="s">
        <v>38</v>
      </c>
      <c r="I30" s="114" t="s">
        <v>38</v>
      </c>
      <c r="J30" s="114" t="s">
        <v>38</v>
      </c>
      <c r="K30" s="114" t="s">
        <v>38</v>
      </c>
      <c r="L30" s="114">
        <f>'Kohde 12 TALVI Ma-Pe KP'!I48</f>
        <v>0.60763888888888884</v>
      </c>
      <c r="M30" s="114" t="s">
        <v>38</v>
      </c>
      <c r="N30" s="114" t="s">
        <v>38</v>
      </c>
      <c r="O30" s="114" t="s">
        <v>38</v>
      </c>
      <c r="P30" s="114"/>
      <c r="Q30" s="114" t="s">
        <v>38</v>
      </c>
      <c r="R30" s="114" t="s">
        <v>38</v>
      </c>
      <c r="S30" s="114" t="s">
        <v>38</v>
      </c>
      <c r="T30" s="114" t="s">
        <v>38</v>
      </c>
      <c r="X30" s="55"/>
    </row>
    <row r="31" spans="1:24" s="54" customFormat="1" ht="15" customHeight="1" x14ac:dyDescent="0.25">
      <c r="A31" s="39" t="s">
        <v>57</v>
      </c>
      <c r="B31" s="81" t="s">
        <v>38</v>
      </c>
      <c r="C31" s="81" t="s">
        <v>38</v>
      </c>
      <c r="D31" s="81" t="s">
        <v>38</v>
      </c>
      <c r="E31" s="81" t="s">
        <v>38</v>
      </c>
      <c r="F31" s="81" t="s">
        <v>38</v>
      </c>
      <c r="G31" s="81" t="s">
        <v>38</v>
      </c>
      <c r="H31" s="81" t="s">
        <v>38</v>
      </c>
      <c r="I31" s="81" t="s">
        <v>38</v>
      </c>
      <c r="J31" s="81" t="s">
        <v>38</v>
      </c>
      <c r="K31" s="81" t="s">
        <v>38</v>
      </c>
      <c r="L31" s="81">
        <f>'Kohde 12 TALVI Ma-Pe KP'!K48</f>
        <v>0.62152777777777768</v>
      </c>
      <c r="M31" s="81" t="s">
        <v>38</v>
      </c>
      <c r="N31" s="81" t="s">
        <v>38</v>
      </c>
      <c r="O31" s="81" t="s">
        <v>38</v>
      </c>
      <c r="P31" s="81"/>
      <c r="Q31" s="81" t="s">
        <v>38</v>
      </c>
      <c r="R31" s="81" t="s">
        <v>38</v>
      </c>
      <c r="S31" s="81" t="s">
        <v>38</v>
      </c>
      <c r="T31" s="81" t="s">
        <v>38</v>
      </c>
      <c r="X31" s="55"/>
    </row>
    <row r="32" spans="1:24" s="54" customFormat="1" ht="15" customHeight="1" x14ac:dyDescent="0.25">
      <c r="A32" s="36" t="s">
        <v>80</v>
      </c>
      <c r="B32" s="114">
        <f>'Kohde 12 TALVI Ma-Pe KP'!S14</f>
        <v>0.33055555555555555</v>
      </c>
      <c r="C32" s="114">
        <f>'Kohde 12 TALVI Ma-Pe KP'!Q42</f>
        <v>0.31944444444444436</v>
      </c>
      <c r="D32" s="114" t="s">
        <v>38</v>
      </c>
      <c r="E32" s="114">
        <f>'Kohde 12 TALVI Ma-Pe KP'!Q56</f>
        <v>0.35833333333333328</v>
      </c>
      <c r="F32" s="114">
        <f>'Kohde 12 TALVI Ma-Pe KP'!S32</f>
        <v>0.36944444444444441</v>
      </c>
      <c r="G32" s="114">
        <f>'Kohde 12 TALVI Ma-Pe KP'!S45</f>
        <v>0.41111111111111109</v>
      </c>
      <c r="H32" s="114">
        <f>'Kohde 12 TALVI Ma-Pe KP'!S17</f>
        <v>0.4513888888888889</v>
      </c>
      <c r="I32" s="114">
        <f>'Kohde 12 TALVI Ma-Pe KP'!M19</f>
        <v>0.53124999999999989</v>
      </c>
      <c r="J32" s="114">
        <f>'Kohde 12 TALVI Ma-Pe KP'!S35</f>
        <v>0.58055555555555549</v>
      </c>
      <c r="K32" s="114">
        <f>'Kohde 12 TALVI La'!O17</f>
        <v>0.58680555555555547</v>
      </c>
      <c r="L32" s="114">
        <f>'Kohde 12 TALVI Ma-Pe KP'!S48</f>
        <v>0.62986111111111098</v>
      </c>
      <c r="M32" s="114">
        <f>'Kohde 12 TALVI Ma-Pe KP'!S21</f>
        <v>0.6284722222222221</v>
      </c>
      <c r="N32" s="114">
        <f>'Kohde 12 TALVI La'!O19</f>
        <v>0.64930555555555525</v>
      </c>
      <c r="O32" s="114">
        <f>'Kohde 12 TALVI Ma-Pe LP'!S36</f>
        <v>0.67361111111111105</v>
      </c>
      <c r="P32" s="114">
        <f>'Kohde 12 TALVI Ma-Pe KP'!S50</f>
        <v>0.66458333333333319</v>
      </c>
      <c r="Q32" s="114">
        <f>'Kohde 12 TALVI Ma-Pe KP'!S52</f>
        <v>0.70902777777777759</v>
      </c>
      <c r="R32" s="114">
        <f>'Kohde 12 TALVI Ma-Pe KP'!S23</f>
        <v>0.70972222222222203</v>
      </c>
      <c r="S32" s="114">
        <f>'Kohde 12 TALVI Ma-Pe KP'!S25</f>
        <v>0.79166666666666652</v>
      </c>
      <c r="T32" s="114">
        <f>'Kohde 12 TALVI Ma-Pe KP'!S27</f>
        <v>0.87430555555555545</v>
      </c>
      <c r="U32" s="64"/>
      <c r="X32" s="55"/>
    </row>
    <row r="33" spans="1:24" s="54" customFormat="1" ht="15" customHeight="1" x14ac:dyDescent="0.25">
      <c r="A33" s="39" t="s">
        <v>87</v>
      </c>
      <c r="B33" s="81"/>
      <c r="C33" s="81">
        <f>'Kohde 12 TALVI Ma-Pe KP'!S42</f>
        <v>0.32152777777777769</v>
      </c>
      <c r="D33" s="81">
        <f>'Kohde 12 TALVI La'!O14</f>
        <v>0.35069444443474318</v>
      </c>
      <c r="E33" s="81">
        <f>'Kohde 12 TALVI Ma-Pe KP'!S56</f>
        <v>0.36041666666666661</v>
      </c>
      <c r="F33" s="81"/>
      <c r="G33" s="81"/>
      <c r="H33" s="81"/>
      <c r="I33" s="81" t="s">
        <v>38</v>
      </c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 t="s">
        <v>38</v>
      </c>
      <c r="U33" s="64"/>
      <c r="X33" s="55"/>
    </row>
    <row r="34" spans="1:24" s="54" customFormat="1" ht="15" customHeight="1" x14ac:dyDescent="0.25">
      <c r="A34" s="36" t="s">
        <v>62</v>
      </c>
      <c r="B34" s="114"/>
      <c r="C34" s="114"/>
      <c r="D34" s="114"/>
      <c r="E34" s="114"/>
      <c r="F34" s="114"/>
      <c r="G34" s="114"/>
      <c r="H34" s="114"/>
      <c r="I34" s="114">
        <f>'Kohde 12 TALVI Ma-Pe KP'!S19</f>
        <v>0.53819444444444431</v>
      </c>
      <c r="J34" s="114"/>
      <c r="K34" s="114"/>
      <c r="L34" s="114"/>
      <c r="M34" s="114"/>
      <c r="N34" s="114"/>
      <c r="O34" s="114"/>
      <c r="P34" s="114"/>
      <c r="Q34" s="114"/>
      <c r="R34" s="114"/>
      <c r="S34" s="114"/>
      <c r="T34" s="114" t="s">
        <v>38</v>
      </c>
      <c r="U34" s="64"/>
      <c r="X34" s="55"/>
    </row>
    <row r="35" spans="1:24" s="50" customFormat="1" ht="15" customHeight="1" x14ac:dyDescent="0.25">
      <c r="A35" s="39" t="s">
        <v>55</v>
      </c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156" t="s">
        <v>160</v>
      </c>
      <c r="U35" s="56"/>
      <c r="X35" s="55"/>
    </row>
    <row r="36" spans="1:24" s="50" customFormat="1" ht="15" customHeight="1" x14ac:dyDescent="0.25">
      <c r="A36" s="37"/>
      <c r="B36" s="77"/>
      <c r="C36" s="77"/>
      <c r="D36" s="77"/>
      <c r="E36" s="77"/>
      <c r="F36" s="77"/>
      <c r="G36" s="77"/>
      <c r="H36" s="78"/>
      <c r="I36" s="78"/>
      <c r="J36" s="78"/>
      <c r="K36" s="77"/>
      <c r="L36" s="77"/>
      <c r="M36" s="78"/>
      <c r="N36" s="78"/>
      <c r="O36" s="78"/>
      <c r="P36" s="77"/>
      <c r="Q36" s="77"/>
      <c r="R36" s="78"/>
    </row>
    <row r="37" spans="1:24" s="50" customFormat="1" ht="15" customHeight="1" x14ac:dyDescent="0.25">
      <c r="A37" s="51" t="s">
        <v>81</v>
      </c>
      <c r="B37" s="51" t="s">
        <v>78</v>
      </c>
      <c r="C37" s="52"/>
      <c r="D37" s="52"/>
      <c r="E37" s="53"/>
      <c r="F37" s="53"/>
      <c r="G37" s="53"/>
      <c r="H37" s="53"/>
      <c r="I37" s="53"/>
      <c r="J37" s="100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</row>
    <row r="38" spans="1:24" s="50" customFormat="1" ht="15" customHeight="1" x14ac:dyDescent="0.25">
      <c r="A38" s="32" t="s">
        <v>32</v>
      </c>
      <c r="B38" s="33">
        <v>700</v>
      </c>
      <c r="C38" s="99">
        <v>751</v>
      </c>
      <c r="D38" s="99">
        <v>703</v>
      </c>
      <c r="E38" s="99">
        <v>700</v>
      </c>
      <c r="F38" s="99">
        <v>751</v>
      </c>
      <c r="G38" s="105">
        <v>700</v>
      </c>
      <c r="H38" s="33">
        <v>602</v>
      </c>
      <c r="I38" s="105">
        <v>700</v>
      </c>
      <c r="J38" s="105">
        <v>602</v>
      </c>
      <c r="K38" s="105">
        <v>702</v>
      </c>
      <c r="L38" s="99">
        <v>601</v>
      </c>
      <c r="M38" s="99">
        <v>700</v>
      </c>
      <c r="N38" s="99">
        <v>751</v>
      </c>
      <c r="O38" s="105">
        <v>700</v>
      </c>
      <c r="P38" s="105">
        <v>700</v>
      </c>
      <c r="Q38" s="33">
        <v>700</v>
      </c>
      <c r="R38" s="33">
        <v>751</v>
      </c>
      <c r="S38" s="33">
        <v>602</v>
      </c>
      <c r="T38" s="33">
        <v>700</v>
      </c>
    </row>
    <row r="39" spans="1:24" s="50" customFormat="1" ht="15" customHeight="1" x14ac:dyDescent="0.25">
      <c r="A39" s="34" t="s">
        <v>33</v>
      </c>
      <c r="B39" s="104" t="s">
        <v>34</v>
      </c>
      <c r="C39" s="97" t="s">
        <v>35</v>
      </c>
      <c r="D39" s="97" t="s">
        <v>34</v>
      </c>
      <c r="E39" s="97" t="s">
        <v>24</v>
      </c>
      <c r="F39" s="97" t="s">
        <v>35</v>
      </c>
      <c r="G39" s="104" t="s">
        <v>34</v>
      </c>
      <c r="H39" s="97" t="s">
        <v>24</v>
      </c>
      <c r="I39" s="104" t="s">
        <v>34</v>
      </c>
      <c r="J39" s="104" t="s">
        <v>34</v>
      </c>
      <c r="K39" s="104" t="s">
        <v>34</v>
      </c>
      <c r="L39" s="97" t="s">
        <v>35</v>
      </c>
      <c r="M39" s="97" t="s">
        <v>183</v>
      </c>
      <c r="N39" s="97" t="s">
        <v>35</v>
      </c>
      <c r="O39" s="104" t="s">
        <v>34</v>
      </c>
      <c r="P39" s="104" t="s">
        <v>24</v>
      </c>
      <c r="Q39" s="35" t="s">
        <v>34</v>
      </c>
      <c r="R39" s="35" t="s">
        <v>35</v>
      </c>
      <c r="S39" s="35" t="s">
        <v>34</v>
      </c>
      <c r="T39" s="35" t="s">
        <v>34</v>
      </c>
    </row>
    <row r="40" spans="1:24" s="50" customFormat="1" ht="15" customHeight="1" x14ac:dyDescent="0.25">
      <c r="A40" s="65" t="s">
        <v>107</v>
      </c>
      <c r="B40" s="105"/>
      <c r="C40" s="99" t="s">
        <v>94</v>
      </c>
      <c r="D40" s="99" t="s">
        <v>141</v>
      </c>
      <c r="E40" s="99"/>
      <c r="F40" s="99" t="s">
        <v>94</v>
      </c>
      <c r="G40" s="105"/>
      <c r="H40" s="99"/>
      <c r="I40" s="105"/>
      <c r="J40" s="105"/>
      <c r="K40" s="105"/>
      <c r="L40" s="99" t="s">
        <v>95</v>
      </c>
      <c r="M40" s="105"/>
      <c r="N40" s="99" t="s">
        <v>94</v>
      </c>
      <c r="O40" s="105"/>
      <c r="P40" s="105"/>
      <c r="Q40" s="38"/>
      <c r="R40" s="38" t="s">
        <v>97</v>
      </c>
      <c r="S40" s="38"/>
      <c r="T40" s="105"/>
      <c r="U40" s="54"/>
    </row>
    <row r="41" spans="1:24" s="50" customFormat="1" ht="15" customHeight="1" x14ac:dyDescent="0.25">
      <c r="A41" s="36" t="s">
        <v>82</v>
      </c>
      <c r="B41" s="114"/>
      <c r="C41" s="114"/>
      <c r="D41" s="114">
        <f>'Kohde 12 TALVI Ma-Pe KP'!G31</f>
        <v>0.28125</v>
      </c>
      <c r="E41" s="114"/>
      <c r="F41" s="114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4"/>
      <c r="R41" s="114"/>
      <c r="S41" s="114"/>
      <c r="T41" s="114"/>
      <c r="U41" s="54"/>
    </row>
    <row r="42" spans="1:24" s="50" customFormat="1" ht="15" customHeight="1" x14ac:dyDescent="0.25">
      <c r="A42" s="39" t="s">
        <v>62</v>
      </c>
      <c r="B42" s="81"/>
      <c r="C42" s="81"/>
      <c r="D42" s="81" t="s">
        <v>38</v>
      </c>
      <c r="E42" s="81"/>
      <c r="F42" s="81"/>
      <c r="G42" s="81"/>
      <c r="H42" s="81"/>
      <c r="I42" s="81"/>
      <c r="J42" s="81"/>
      <c r="K42" s="81">
        <f>'Kohde 12 TALVI Ma-Pe KP'!G20</f>
        <v>0.54166666666666663</v>
      </c>
      <c r="L42" s="81"/>
      <c r="M42" s="81"/>
      <c r="N42" s="81"/>
      <c r="O42" s="81"/>
      <c r="P42" s="81"/>
      <c r="Q42" s="81"/>
      <c r="R42" s="81"/>
      <c r="S42" s="81"/>
      <c r="T42" s="81"/>
      <c r="U42" s="54"/>
    </row>
    <row r="43" spans="1:24" s="50" customFormat="1" ht="15" customHeight="1" x14ac:dyDescent="0.25">
      <c r="A43" s="36" t="s">
        <v>87</v>
      </c>
      <c r="B43" s="114"/>
      <c r="C43" s="114"/>
      <c r="D43" s="114"/>
      <c r="E43" s="114"/>
      <c r="F43" s="114"/>
      <c r="G43" s="114"/>
      <c r="H43" s="114"/>
      <c r="I43" s="114"/>
      <c r="J43" s="114"/>
      <c r="K43" s="114"/>
      <c r="L43" s="114">
        <f>'Kohde 12 TALVI Ma-Pe KP'!G47</f>
        <v>0.55555555555555558</v>
      </c>
      <c r="M43" s="114"/>
      <c r="N43" s="114">
        <f>'Kohde 12 TALVI Ma-Pe KP'!G49</f>
        <v>0.63194444444444442</v>
      </c>
      <c r="O43" s="114"/>
      <c r="P43" s="114"/>
      <c r="Q43" s="114"/>
      <c r="R43" s="114"/>
      <c r="S43" s="114"/>
      <c r="T43" s="114"/>
      <c r="U43" s="54"/>
    </row>
    <row r="44" spans="1:24" s="50" customFormat="1" ht="15" customHeight="1" x14ac:dyDescent="0.25">
      <c r="A44" s="108" t="s">
        <v>80</v>
      </c>
      <c r="B44" s="113">
        <f>'Kohde 12 TALVI Ma-Pe KP'!G13</f>
        <v>0.25</v>
      </c>
      <c r="C44" s="113">
        <f>'Kohde 12 TALVI Ma-Pe KP'!G41</f>
        <v>0.28472222222222221</v>
      </c>
      <c r="D44" s="113">
        <f>'Kohde 12 TALVI Ma-Pe KP'!I31</f>
        <v>0.29166666666666669</v>
      </c>
      <c r="E44" s="113">
        <f>'Kohde 12 TALVI La'!G13</f>
        <v>0.29166666665696539</v>
      </c>
      <c r="F44" s="113">
        <f>'Kohde 12 TALVI Ma-Pe KP'!G55</f>
        <v>0.32291666666666669</v>
      </c>
      <c r="G44" s="113">
        <f>'Kohde 12 TALVI Ma-Pe KP'!G15</f>
        <v>0.34375</v>
      </c>
      <c r="H44" s="113">
        <f>'Kohde 12 TALVI La'!G15</f>
        <v>0.35069444443474318</v>
      </c>
      <c r="I44" s="113">
        <f>'Kohde 12 TALVI Ma-Pe KP'!G33</f>
        <v>0.375</v>
      </c>
      <c r="J44" s="113">
        <f>'Kohde 12 TALVI Ma-Pe KP'!G18</f>
        <v>0.46527777777777773</v>
      </c>
      <c r="K44" s="113">
        <f>'Kohde 12 TALVI Ma-Pe KP'!I20</f>
        <v>0.54861111111111105</v>
      </c>
      <c r="L44" s="113">
        <f>'Kohde 12 TALVI Ma-Pe KP'!I47</f>
        <v>0.55694444444444446</v>
      </c>
      <c r="M44" s="113">
        <f>'Kohde 12 TALVI Ma-Pe KP'!G36</f>
        <v>0.59027777777777779</v>
      </c>
      <c r="N44" s="113">
        <f>'Kohde 12 TALVI Ma-Pe KP'!I49</f>
        <v>0.6333333333333333</v>
      </c>
      <c r="O44" s="113">
        <f>'Kohde 12 TALVI Ma-Pe KP'!G22</f>
        <v>0.63194444444444442</v>
      </c>
      <c r="P44" s="113">
        <f>'Kohde 12 TALVI La'!G20</f>
        <v>0.64930555555555525</v>
      </c>
      <c r="Q44" s="113">
        <f>'Kohde 12 TALVI Ma-Pe KP'!G38</f>
        <v>0.67361111111111116</v>
      </c>
      <c r="R44" s="113">
        <f>'Kohde 12 TALVI Ma-Pe KP'!G51</f>
        <v>0.68055555555555547</v>
      </c>
      <c r="S44" s="113">
        <f>'Kohde 12 TALVI Ma-Pe KP'!G24</f>
        <v>0.71527777777777779</v>
      </c>
      <c r="T44" s="113">
        <f>'Kohde 12 TALVI Ma-Pe KP'!G26</f>
        <v>0.79861111111111116</v>
      </c>
      <c r="U44" s="54"/>
    </row>
    <row r="45" spans="1:24" s="50" customFormat="1" ht="15" customHeight="1" x14ac:dyDescent="0.25">
      <c r="A45" s="36" t="s">
        <v>55</v>
      </c>
      <c r="B45" s="114" t="s">
        <v>38</v>
      </c>
      <c r="C45" s="114">
        <f>'Kohde 12 TALVI Ma-Pe KP'!I41</f>
        <v>0.29027777777777775</v>
      </c>
      <c r="D45" s="114" t="s">
        <v>38</v>
      </c>
      <c r="E45" s="114" t="s">
        <v>38</v>
      </c>
      <c r="F45" s="114">
        <f>'Kohde 12 TALVI Ma-Pe KP'!I55</f>
        <v>0.32847222222222222</v>
      </c>
      <c r="G45" s="114" t="s">
        <v>38</v>
      </c>
      <c r="H45" s="114">
        <f>'Kohde 12 TALVI La'!I15</f>
        <v>0.35624999999029872</v>
      </c>
      <c r="I45" s="114" t="s">
        <v>38</v>
      </c>
      <c r="J45" s="114">
        <f>'Kohde 12 TALVI Ma-Pe KP'!I18</f>
        <v>0.47083333333333327</v>
      </c>
      <c r="K45" s="114" t="s">
        <v>38</v>
      </c>
      <c r="L45" s="114">
        <f>'Kohde 12 TALVI Ma-Pe KP'!K47</f>
        <v>0.5625</v>
      </c>
      <c r="M45" s="114" t="s">
        <v>38</v>
      </c>
      <c r="N45" s="114">
        <f>'Kohde 12 TALVI Ma-Pe KP'!K49</f>
        <v>0.63888888888888884</v>
      </c>
      <c r="O45" s="114" t="s">
        <v>38</v>
      </c>
      <c r="P45" s="114" t="s">
        <v>38</v>
      </c>
      <c r="Q45" s="114" t="s">
        <v>38</v>
      </c>
      <c r="R45" s="114">
        <f>'Kohde 12 TALVI Ma-Pe KP'!I51</f>
        <v>0.68611111111111101</v>
      </c>
      <c r="S45" s="114">
        <f>'Kohde 12 TALVI Ma-Pe KP'!I24</f>
        <v>0.72083333333333333</v>
      </c>
      <c r="T45" s="114" t="s">
        <v>38</v>
      </c>
      <c r="U45" s="54"/>
    </row>
    <row r="46" spans="1:24" s="50" customFormat="1" ht="15" customHeight="1" x14ac:dyDescent="0.25">
      <c r="A46" s="39" t="s">
        <v>79</v>
      </c>
      <c r="B46" s="81" t="s">
        <v>38</v>
      </c>
      <c r="C46" s="117">
        <f>'Kohde 12 TALVI Ma-Pe KP'!K41</f>
        <v>0.29513888888888884</v>
      </c>
      <c r="D46" s="81" t="s">
        <v>38</v>
      </c>
      <c r="E46" s="81" t="s">
        <v>38</v>
      </c>
      <c r="F46" s="81" t="s">
        <v>99</v>
      </c>
      <c r="G46" s="81" t="s">
        <v>38</v>
      </c>
      <c r="H46" s="81" t="str">
        <f>'Kohde 12 TALVI La'!K15</f>
        <v>z</v>
      </c>
      <c r="I46" s="81" t="s">
        <v>38</v>
      </c>
      <c r="J46" s="81" t="str">
        <f>'Kohde 12 TALVI Ma-Pe KP'!K18</f>
        <v>z</v>
      </c>
      <c r="K46" s="81" t="s">
        <v>38</v>
      </c>
      <c r="L46" s="81" t="s">
        <v>38</v>
      </c>
      <c r="M46" s="81" t="s">
        <v>38</v>
      </c>
      <c r="N46" s="117">
        <f>'Kohde 12 TALVI Ma-Pe KP'!M49</f>
        <v>0.64305555555555549</v>
      </c>
      <c r="O46" s="81" t="s">
        <v>38</v>
      </c>
      <c r="P46" s="81" t="s">
        <v>38</v>
      </c>
      <c r="Q46" s="81" t="s">
        <v>38</v>
      </c>
      <c r="R46" s="117">
        <f>'Kohde 12 TALVI Ma-Pe KP'!K51</f>
        <v>0.69027777777777766</v>
      </c>
      <c r="S46" s="81" t="str">
        <f>'Kohde 12 TALVI Ma-Pe KP'!K24</f>
        <v>z</v>
      </c>
      <c r="T46" s="81" t="s">
        <v>38</v>
      </c>
      <c r="U46" s="54"/>
    </row>
    <row r="47" spans="1:24" s="50" customFormat="1" ht="15" customHeight="1" x14ac:dyDescent="0.25">
      <c r="A47" s="36" t="s">
        <v>100</v>
      </c>
      <c r="B47" s="114" t="s">
        <v>38</v>
      </c>
      <c r="C47" s="114">
        <f>'Kohde 12 TALVI Ma-Pe KP'!S41</f>
        <v>0.29861111111111105</v>
      </c>
      <c r="D47" s="114" t="s">
        <v>38</v>
      </c>
      <c r="E47" s="114" t="s">
        <v>38</v>
      </c>
      <c r="F47" s="114">
        <f>'Kohde 12 TALVI Ma-Pe KP'!S55</f>
        <v>0.33680555555555552</v>
      </c>
      <c r="G47" s="114" t="s">
        <v>38</v>
      </c>
      <c r="H47" s="114" t="s">
        <v>38</v>
      </c>
      <c r="I47" s="114" t="s">
        <v>38</v>
      </c>
      <c r="J47" s="114" t="s">
        <v>38</v>
      </c>
      <c r="K47" s="114" t="s">
        <v>38</v>
      </c>
      <c r="L47" s="114">
        <f>'Kohde 12 TALVI Ma-Pe KP'!O47</f>
        <v>0.56944444444444442</v>
      </c>
      <c r="M47" s="114" t="s">
        <v>38</v>
      </c>
      <c r="N47" s="114">
        <f>'Kohde 12 TALVI Ma-Pe KP'!S49</f>
        <v>0.6465277777777777</v>
      </c>
      <c r="O47" s="114" t="s">
        <v>38</v>
      </c>
      <c r="P47" s="114" t="s">
        <v>38</v>
      </c>
      <c r="Q47" s="114" t="s">
        <v>38</v>
      </c>
      <c r="R47" s="114">
        <f>'Kohde 12 TALVI Ma-Pe KP'!S51</f>
        <v>0.69513888888888875</v>
      </c>
      <c r="S47" s="114" t="s">
        <v>38</v>
      </c>
      <c r="T47" s="114" t="s">
        <v>38</v>
      </c>
      <c r="U47" s="54"/>
    </row>
    <row r="48" spans="1:24" s="54" customFormat="1" ht="15" customHeight="1" x14ac:dyDescent="0.25">
      <c r="A48" s="39" t="s">
        <v>105</v>
      </c>
      <c r="B48" s="81" t="s">
        <v>38</v>
      </c>
      <c r="D48" s="81" t="s">
        <v>38</v>
      </c>
      <c r="E48" s="81" t="s">
        <v>38</v>
      </c>
      <c r="F48" s="81"/>
      <c r="G48" s="81" t="s">
        <v>38</v>
      </c>
      <c r="H48" s="81" t="s">
        <v>38</v>
      </c>
      <c r="I48" s="81" t="s">
        <v>38</v>
      </c>
      <c r="J48" s="81" t="s">
        <v>38</v>
      </c>
      <c r="K48" s="81" t="s">
        <v>38</v>
      </c>
      <c r="L48" s="81" t="s">
        <v>38</v>
      </c>
      <c r="M48" s="81" t="s">
        <v>38</v>
      </c>
      <c r="N48" s="81"/>
      <c r="O48" s="81" t="s">
        <v>38</v>
      </c>
      <c r="P48" s="81" t="s">
        <v>38</v>
      </c>
      <c r="Q48" s="81" t="s">
        <v>38</v>
      </c>
      <c r="R48" s="81"/>
      <c r="S48" s="81" t="s">
        <v>38</v>
      </c>
      <c r="T48" s="81" t="s">
        <v>38</v>
      </c>
    </row>
    <row r="49" spans="1:22" s="50" customFormat="1" ht="15" customHeight="1" x14ac:dyDescent="0.25">
      <c r="A49" s="36" t="s">
        <v>54</v>
      </c>
      <c r="B49" s="114">
        <f>'Kohde 12 TALVI Ma-Pe KP'!I13</f>
        <v>0.26041666666666669</v>
      </c>
      <c r="C49" s="69"/>
      <c r="D49" s="114">
        <f>'Kohde 12 TALVI Ma-Pe KP'!K31</f>
        <v>0.30277777777777781</v>
      </c>
      <c r="E49" s="114">
        <f>'Kohde 12 TALVI La'!I13</f>
        <v>0.30277777776807652</v>
      </c>
      <c r="F49" s="114"/>
      <c r="G49" s="114">
        <f>'Kohde 12 TALVI Ma-Pe KP'!I15</f>
        <v>0.35486111111111113</v>
      </c>
      <c r="H49" s="114" t="s">
        <v>38</v>
      </c>
      <c r="I49" s="114">
        <f>'Kohde 12 TALVI Ma-Pe KP'!I33</f>
        <v>0.38611111111111113</v>
      </c>
      <c r="J49" s="114" t="s">
        <v>38</v>
      </c>
      <c r="K49" s="114">
        <f>'Kohde 12 TALVI Ma-Pe KP'!K20</f>
        <v>0.56041666666666656</v>
      </c>
      <c r="L49" s="114" t="s">
        <v>39</v>
      </c>
      <c r="M49" s="114">
        <f>'Kohde 12 TALVI Ma-Pe KP'!I36</f>
        <v>0.6020833333333333</v>
      </c>
      <c r="N49" s="114"/>
      <c r="O49" s="114">
        <f>'Kohde 12 TALVI Ma-Pe KP'!I22</f>
        <v>0.64374999999999993</v>
      </c>
      <c r="P49" s="114">
        <f>'Kohde 12 TALVI La'!I20</f>
        <v>0.66041666666666632</v>
      </c>
      <c r="Q49" s="114">
        <f>'Kohde 12 TALVI Ma-Pe KP'!I38</f>
        <v>0.68541666666666667</v>
      </c>
      <c r="R49" s="114"/>
      <c r="S49" s="114" t="s">
        <v>38</v>
      </c>
      <c r="T49" s="114">
        <f>'Kohde 12 TALVI Ma-Pe KP'!I26</f>
        <v>0.81041666666666667</v>
      </c>
      <c r="U49" s="64"/>
    </row>
    <row r="50" spans="1:22" s="50" customFormat="1" ht="15" customHeight="1" x14ac:dyDescent="0.25">
      <c r="A50" s="39" t="s">
        <v>37</v>
      </c>
      <c r="B50" s="81">
        <f>'Kohde 12 TALVI Ma-Pe KP'!K13</f>
        <v>0.2729166666666667</v>
      </c>
      <c r="C50" s="54"/>
      <c r="D50" s="81">
        <f>'Kohde 12 TALVI Ma-Pe KP'!M31</f>
        <v>0.31736111111111115</v>
      </c>
      <c r="E50" s="81">
        <f>'Kohde 12 TALVI La'!M13</f>
        <v>0.31597222221252097</v>
      </c>
      <c r="F50" s="81"/>
      <c r="G50" s="81">
        <f>'Kohde 12 TALVI Ma-Pe KP'!K15</f>
        <v>0.36805555555555558</v>
      </c>
      <c r="H50" s="81" t="s">
        <v>38</v>
      </c>
      <c r="I50" s="81">
        <f>'Kohde 12 TALVI Ma-Pe KP'!K33</f>
        <v>0.39930555555555558</v>
      </c>
      <c r="J50" s="81" t="s">
        <v>38</v>
      </c>
      <c r="K50" s="81">
        <f>'Kohde 12 TALVI Ma-Pe KP'!M20</f>
        <v>0.57361111111111096</v>
      </c>
      <c r="L50" s="81" t="s">
        <v>39</v>
      </c>
      <c r="M50" s="81">
        <f>'Kohde 12 TALVI Ma-Pe KP'!K36</f>
        <v>0.6152777777777777</v>
      </c>
      <c r="N50" s="81"/>
      <c r="O50" s="81">
        <f>'Kohde 12 TALVI Ma-Pe KP'!K22</f>
        <v>0.65694444444444433</v>
      </c>
      <c r="P50" s="81">
        <f>'Kohde 12 TALVI La'!M20</f>
        <v>0.67361111111111072</v>
      </c>
      <c r="Q50" s="81">
        <f>'Kohde 12 TALVI Ma-Pe KP'!K38</f>
        <v>0.69791666666666663</v>
      </c>
      <c r="R50" s="81"/>
      <c r="S50" s="81" t="s">
        <v>38</v>
      </c>
      <c r="T50" s="81">
        <f>'Kohde 12 TALVI Ma-Pe KP'!K26</f>
        <v>0.82361111111111107</v>
      </c>
      <c r="U50" s="64"/>
      <c r="V50" s="57"/>
    </row>
    <row r="51" spans="1:22" s="50" customFormat="1" ht="15" customHeight="1" x14ac:dyDescent="0.25">
      <c r="A51" s="36" t="s">
        <v>57</v>
      </c>
      <c r="B51" s="114" t="s">
        <v>38</v>
      </c>
      <c r="C51" s="69"/>
      <c r="D51" s="114" t="s">
        <v>38</v>
      </c>
      <c r="E51" s="114" t="s">
        <v>38</v>
      </c>
      <c r="F51" s="114"/>
      <c r="G51" s="114" t="s">
        <v>38</v>
      </c>
      <c r="H51" s="114" t="s">
        <v>38</v>
      </c>
      <c r="I51" s="114" t="s">
        <v>38</v>
      </c>
      <c r="J51" s="114" t="s">
        <v>38</v>
      </c>
      <c r="K51" s="114" t="s">
        <v>38</v>
      </c>
      <c r="L51" s="114" t="s">
        <v>38</v>
      </c>
      <c r="M51" s="114" t="s">
        <v>38</v>
      </c>
      <c r="N51" s="114"/>
      <c r="O51" s="114" t="s">
        <v>38</v>
      </c>
      <c r="P51" s="114" t="s">
        <v>38</v>
      </c>
      <c r="Q51" s="114" t="s">
        <v>38</v>
      </c>
      <c r="R51" s="114"/>
      <c r="S51" s="114" t="s">
        <v>38</v>
      </c>
      <c r="T51" s="114" t="s">
        <v>38</v>
      </c>
      <c r="U51" s="54"/>
    </row>
    <row r="52" spans="1:22" s="50" customFormat="1" ht="15" customHeight="1" x14ac:dyDescent="0.25">
      <c r="A52" s="39" t="s">
        <v>29</v>
      </c>
      <c r="B52" s="81" t="s">
        <v>38</v>
      </c>
      <c r="C52" s="54"/>
      <c r="D52" s="81" t="s">
        <v>38</v>
      </c>
      <c r="E52" s="81" t="s">
        <v>38</v>
      </c>
      <c r="F52" s="81"/>
      <c r="G52" s="81" t="s">
        <v>38</v>
      </c>
      <c r="H52" s="81" t="s">
        <v>38</v>
      </c>
      <c r="I52" s="81" t="s">
        <v>38</v>
      </c>
      <c r="J52" s="81" t="s">
        <v>38</v>
      </c>
      <c r="K52" s="81" t="s">
        <v>38</v>
      </c>
      <c r="L52" s="81" t="s">
        <v>38</v>
      </c>
      <c r="M52" s="81" t="s">
        <v>38</v>
      </c>
      <c r="N52" s="81"/>
      <c r="O52" s="81" t="s">
        <v>38</v>
      </c>
      <c r="P52" s="81" t="s">
        <v>38</v>
      </c>
      <c r="Q52" s="81" t="s">
        <v>38</v>
      </c>
      <c r="R52" s="81"/>
      <c r="S52" s="81" t="s">
        <v>38</v>
      </c>
      <c r="T52" s="81" t="s">
        <v>38</v>
      </c>
      <c r="U52" s="54"/>
    </row>
    <row r="53" spans="1:22" s="50" customFormat="1" ht="15" customHeight="1" x14ac:dyDescent="0.25">
      <c r="A53" s="36" t="s">
        <v>103</v>
      </c>
      <c r="B53" s="114" t="s">
        <v>38</v>
      </c>
      <c r="C53" s="69"/>
      <c r="D53" s="114" t="s">
        <v>38</v>
      </c>
      <c r="E53" s="114" t="s">
        <v>38</v>
      </c>
      <c r="F53" s="114"/>
      <c r="G53" s="114" t="s">
        <v>38</v>
      </c>
      <c r="H53" s="114">
        <f>'Kohde 12 TALVI La'!M15</f>
        <v>0.36944444443474317</v>
      </c>
      <c r="I53" s="114" t="s">
        <v>38</v>
      </c>
      <c r="J53" s="114">
        <f>'Kohde 12 TALVI Ma-Pe KP'!M18</f>
        <v>0.48402777777777772</v>
      </c>
      <c r="K53" s="114" t="s">
        <v>38</v>
      </c>
      <c r="L53" s="114" t="s">
        <v>38</v>
      </c>
      <c r="M53" s="114" t="s">
        <v>38</v>
      </c>
      <c r="N53" s="114"/>
      <c r="O53" s="114" t="s">
        <v>38</v>
      </c>
      <c r="P53" s="114" t="s">
        <v>38</v>
      </c>
      <c r="Q53" s="114" t="s">
        <v>38</v>
      </c>
      <c r="R53" s="114"/>
      <c r="S53" s="114">
        <f>'Kohde 12 TALVI Ma-Pe KP'!M24</f>
        <v>0.7319444444444444</v>
      </c>
      <c r="T53" s="114" t="s">
        <v>38</v>
      </c>
      <c r="U53" s="64"/>
      <c r="V53" s="57"/>
    </row>
    <row r="54" spans="1:22" s="50" customFormat="1" ht="15" customHeight="1" x14ac:dyDescent="0.25">
      <c r="A54" s="39" t="s">
        <v>40</v>
      </c>
      <c r="B54" s="81">
        <f>'Kohde 12 TALVI Ma-Pe KP'!S13</f>
        <v>0.27569444444444446</v>
      </c>
      <c r="C54" s="54"/>
      <c r="D54" s="81">
        <f>'Kohde 12 TALVI Ma-Pe KP'!O31</f>
        <v>0.32013888888888892</v>
      </c>
      <c r="E54" s="81">
        <f>'Kohde 12 TALVI La'!O13</f>
        <v>0.31944444443474318</v>
      </c>
      <c r="F54" s="81"/>
      <c r="G54" s="81">
        <f>'Kohde 12 TALVI Ma-Pe KP'!S15</f>
        <v>0.37083333333333335</v>
      </c>
      <c r="H54" s="81">
        <f>'Kohde 12 TALVI La'!O15</f>
        <v>0.38194444443474318</v>
      </c>
      <c r="I54" s="81">
        <f>'Kohde 12 TALVI Ma-Pe KP'!S33</f>
        <v>0.40208333333333335</v>
      </c>
      <c r="J54" s="81">
        <f>'Kohde 12 TALVI Ma-Pe KP'!S18</f>
        <v>0.49652777777777773</v>
      </c>
      <c r="K54" s="81">
        <f>'Kohde 12 TALVI Ma-Pe KP'!S20</f>
        <v>0.57638888888888873</v>
      </c>
      <c r="L54" s="81">
        <f>'Kohde 12 TALVI Ma-Pe KP'!S47</f>
        <v>0.59027777777777779</v>
      </c>
      <c r="M54" s="81">
        <f>'Kohde 12 TALVI Ma-Pe KP'!S36</f>
        <v>0.61805555555555547</v>
      </c>
      <c r="N54" s="81"/>
      <c r="O54" s="81">
        <f>'Kohde 12 TALVI Ma-Pe KP'!S22</f>
        <v>0.6597222222222221</v>
      </c>
      <c r="P54" s="81">
        <f>'Kohde 12 TALVI La'!O20</f>
        <v>0.67708333333333293</v>
      </c>
      <c r="Q54" s="81">
        <f>'Kohde 12 TALVI Ma-Pe KP'!S38</f>
        <v>0.7006944444444444</v>
      </c>
      <c r="R54" s="81"/>
      <c r="S54" s="81">
        <f>'Kohde 12 TALVI Ma-Pe KP'!S24</f>
        <v>0.74305555555555547</v>
      </c>
      <c r="T54" s="81">
        <f>'Kohde 12 TALVI Ma-Pe KP'!S26</f>
        <v>0.82638888888888884</v>
      </c>
      <c r="U54" s="64"/>
      <c r="V54" s="57"/>
    </row>
    <row r="55" spans="1:22" s="50" customFormat="1" ht="15" customHeight="1" x14ac:dyDescent="0.25">
      <c r="A55" s="36" t="s">
        <v>104</v>
      </c>
      <c r="B55" s="114"/>
      <c r="C55" s="69"/>
      <c r="D55" s="114" t="s">
        <v>38</v>
      </c>
      <c r="E55" s="114"/>
      <c r="F55" s="114"/>
      <c r="G55" s="114"/>
      <c r="H55" s="114"/>
      <c r="I55" s="114"/>
      <c r="J55" s="114"/>
      <c r="K55" s="114"/>
      <c r="L55" s="114"/>
      <c r="M55" s="114"/>
      <c r="N55" s="114"/>
      <c r="O55" s="114"/>
      <c r="P55" s="114"/>
      <c r="Q55" s="114"/>
      <c r="R55" s="114"/>
      <c r="S55" s="114"/>
      <c r="T55" s="70"/>
      <c r="U55" s="57"/>
    </row>
    <row r="56" spans="1:22" s="50" customFormat="1" ht="15" customHeight="1" x14ac:dyDescent="0.25">
      <c r="A56" s="39" t="s">
        <v>83</v>
      </c>
      <c r="B56" s="81"/>
      <c r="C56" s="54"/>
      <c r="D56" s="81">
        <f>'Kohde 12 TALVI Ma-Pe KP'!Q31</f>
        <v>0.32569444444444445</v>
      </c>
      <c r="E56" s="118"/>
      <c r="F56" s="81"/>
      <c r="G56" s="81"/>
      <c r="H56" s="81"/>
      <c r="I56" s="81"/>
      <c r="J56" s="81"/>
      <c r="K56" s="81"/>
      <c r="L56" s="81"/>
      <c r="M56" s="81"/>
      <c r="N56" s="81"/>
      <c r="O56" s="81"/>
      <c r="P56" s="81"/>
      <c r="Q56" s="81"/>
      <c r="R56" s="81"/>
      <c r="S56" s="81"/>
      <c r="T56" s="109"/>
      <c r="U56" s="57"/>
    </row>
    <row r="57" spans="1:22" s="50" customFormat="1" ht="15" customHeight="1" x14ac:dyDescent="0.25">
      <c r="A57" s="36" t="s">
        <v>61</v>
      </c>
      <c r="B57" s="98"/>
      <c r="C57" s="98"/>
      <c r="D57" s="114">
        <f>'Kohde 12 TALVI Ma-Pe KP'!S31</f>
        <v>0.32916666666666666</v>
      </c>
      <c r="E57" s="101"/>
      <c r="F57" s="69"/>
      <c r="G57" s="98"/>
      <c r="H57" s="98"/>
      <c r="I57" s="98"/>
      <c r="J57" s="98"/>
      <c r="K57" s="98"/>
      <c r="L57" s="98"/>
      <c r="M57" s="110"/>
      <c r="N57" s="98"/>
      <c r="O57" s="98"/>
      <c r="P57" s="98"/>
      <c r="Q57" s="98"/>
      <c r="R57" s="98"/>
      <c r="S57" s="98"/>
      <c r="T57" s="70"/>
      <c r="U57" s="57"/>
    </row>
    <row r="58" spans="1:22" x14ac:dyDescent="0.25">
      <c r="A58" s="27"/>
      <c r="B58" s="79"/>
      <c r="C58" s="30"/>
      <c r="D58" s="112"/>
      <c r="E58" s="79"/>
      <c r="F58" s="77"/>
      <c r="G58" s="79"/>
      <c r="H58" s="90"/>
      <c r="I58" s="79"/>
      <c r="J58" s="79"/>
      <c r="K58" s="79"/>
      <c r="L58" s="79"/>
      <c r="M58" s="79"/>
      <c r="N58" s="79"/>
      <c r="O58" s="30"/>
      <c r="P58" s="30"/>
      <c r="Q58" s="79"/>
      <c r="R58" s="79"/>
      <c r="S58" s="79"/>
      <c r="U58" s="79"/>
    </row>
    <row r="59" spans="1:22" x14ac:dyDescent="0.25"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</row>
    <row r="60" spans="1:22" x14ac:dyDescent="0.25">
      <c r="A60" s="73"/>
      <c r="B60" s="74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</row>
    <row r="61" spans="1:22" x14ac:dyDescent="0.25">
      <c r="A61" s="73"/>
      <c r="B61" s="75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</row>
    <row r="62" spans="1:22" s="23" customFormat="1" x14ac:dyDescent="0.25">
      <c r="A62" s="73"/>
      <c r="B62" s="76"/>
      <c r="C62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</row>
    <row r="63" spans="1:22" s="23" customFormat="1" x14ac:dyDescent="0.25">
      <c r="A63" s="73"/>
      <c r="B63" s="75"/>
      <c r="C63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</row>
    <row r="64" spans="1:22" s="23" customFormat="1" x14ac:dyDescent="0.25">
      <c r="A64" s="73"/>
      <c r="B64" s="75"/>
      <c r="C64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</row>
    <row r="65" spans="1:16" s="23" customFormat="1" x14ac:dyDescent="0.25">
      <c r="A65" s="73"/>
      <c r="B65" s="76"/>
      <c r="C65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</row>
    <row r="66" spans="1:16" s="23" customFormat="1" x14ac:dyDescent="0.25">
      <c r="A66" s="73"/>
      <c r="B66" s="74"/>
      <c r="C66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</row>
    <row r="67" spans="1:16" s="23" customFormat="1" x14ac:dyDescent="0.25">
      <c r="A67" s="73"/>
      <c r="B67" s="75"/>
      <c r="C67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</row>
    <row r="68" spans="1:16" s="23" customFormat="1" x14ac:dyDescent="0.25">
      <c r="A68" s="73"/>
      <c r="B68" s="75"/>
      <c r="C6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</row>
    <row r="69" spans="1:16" s="23" customFormat="1" x14ac:dyDescent="0.25">
      <c r="C69"/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</row>
    <row r="70" spans="1:16" s="23" customFormat="1" x14ac:dyDescent="0.25">
      <c r="C70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</row>
    <row r="71" spans="1:16" s="23" customFormat="1" x14ac:dyDescent="0.25">
      <c r="C71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</row>
    <row r="72" spans="1:16" s="23" customFormat="1" x14ac:dyDescent="0.25">
      <c r="C72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</row>
    <row r="73" spans="1:16" s="23" customFormat="1" x14ac:dyDescent="0.25">
      <c r="C73" s="28"/>
    </row>
    <row r="74" spans="1:16" s="23" customFormat="1" x14ac:dyDescent="0.25">
      <c r="C74" s="28"/>
    </row>
    <row r="75" spans="1:16" x14ac:dyDescent="0.25">
      <c r="C75" s="31"/>
    </row>
    <row r="76" spans="1:16" x14ac:dyDescent="0.25">
      <c r="A76" s="23"/>
      <c r="B76" s="23"/>
      <c r="C76" s="23"/>
    </row>
    <row r="77" spans="1:16" x14ac:dyDescent="0.25">
      <c r="A77" s="23"/>
      <c r="B77" s="23"/>
      <c r="C77" s="23"/>
    </row>
  </sheetData>
  <pageMargins left="0.7" right="0.7" top="0.75" bottom="0.75" header="0.3" footer="0.3"/>
  <pageSetup scale="50" orientation="landscape" horizontalDpi="1200" verticalDpi="1200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F13CDE-E15D-4DF3-A041-91CEC1D38FA6}">
  <sheetPr>
    <tabColor theme="9" tint="0.79998168889431442"/>
  </sheetPr>
  <dimension ref="A1:X70"/>
  <sheetViews>
    <sheetView workbookViewId="0">
      <pane ySplit="11" topLeftCell="A12" activePane="bottomLeft" state="frozen"/>
      <selection pane="bottomLeft"/>
    </sheetView>
  </sheetViews>
  <sheetFormatPr defaultColWidth="9.140625" defaultRowHeight="12" x14ac:dyDescent="0.2"/>
  <cols>
    <col min="1" max="1" width="9.140625" style="95"/>
    <col min="2" max="2" width="6.42578125" style="1" customWidth="1"/>
    <col min="3" max="4" width="9.140625" style="1"/>
    <col min="5" max="5" width="10.140625" style="6" customWidth="1"/>
    <col min="6" max="8" width="9.140625" style="1"/>
    <col min="9" max="9" width="9.85546875" style="10" customWidth="1"/>
    <col min="10" max="10" width="15" style="95" customWidth="1"/>
    <col min="11" max="11" width="9.140625" style="95" customWidth="1"/>
    <col min="12" max="12" width="16" style="95" customWidth="1"/>
    <col min="13" max="13" width="7.85546875" style="95" customWidth="1"/>
    <col min="14" max="14" width="14.5703125" style="95" customWidth="1"/>
    <col min="15" max="15" width="8.85546875" style="95" customWidth="1"/>
    <col min="16" max="16" width="13.42578125" style="95" customWidth="1"/>
    <col min="17" max="17" width="9.140625" style="95" customWidth="1"/>
    <col min="18" max="18" width="16.85546875" style="95" customWidth="1"/>
    <col min="19" max="19" width="7.85546875" style="95" customWidth="1"/>
    <col min="20" max="20" width="14.42578125" style="95" customWidth="1"/>
    <col min="21" max="21" width="8.140625" style="95" customWidth="1"/>
    <col min="22" max="22" width="12.5703125" style="95" customWidth="1"/>
    <col min="23" max="23" width="7.5703125" style="1" customWidth="1"/>
    <col min="24" max="24" width="13.42578125" style="95" customWidth="1"/>
    <col min="25" max="33" width="9.140625" style="95"/>
    <col min="34" max="34" width="16" style="95" customWidth="1"/>
    <col min="35" max="35" width="9.140625" style="95"/>
    <col min="36" max="36" width="9.42578125" style="95" bestFit="1" customWidth="1"/>
    <col min="37" max="16384" width="9.140625" style="95"/>
  </cols>
  <sheetData>
    <row r="1" spans="1:24" s="176" customFormat="1" ht="15" x14ac:dyDescent="0.25">
      <c r="A1" s="176" t="s">
        <v>186</v>
      </c>
      <c r="B1" s="177"/>
      <c r="C1" s="177"/>
      <c r="D1" s="178"/>
      <c r="F1" s="26"/>
      <c r="G1" s="26"/>
      <c r="H1" s="26"/>
    </row>
    <row r="2" spans="1:24" s="176" customFormat="1" ht="15" x14ac:dyDescent="0.25">
      <c r="A2" s="176" t="s">
        <v>192</v>
      </c>
      <c r="B2" s="177"/>
      <c r="D2" s="178"/>
    </row>
    <row r="3" spans="1:24" s="176" customFormat="1" ht="15" x14ac:dyDescent="0.25">
      <c r="B3" s="177"/>
      <c r="C3" s="177"/>
      <c r="D3" s="177"/>
      <c r="E3" s="197"/>
      <c r="F3" s="177"/>
      <c r="G3" s="177"/>
      <c r="H3" s="177"/>
      <c r="I3" s="178"/>
      <c r="W3" s="177"/>
    </row>
    <row r="4" spans="1:24" x14ac:dyDescent="0.2">
      <c r="A4" s="95" t="s">
        <v>0</v>
      </c>
      <c r="C4" s="1" t="s">
        <v>22</v>
      </c>
      <c r="D4" s="1" t="s">
        <v>59</v>
      </c>
      <c r="E4" s="1" t="s">
        <v>65</v>
      </c>
      <c r="F4" s="1" t="s">
        <v>66</v>
      </c>
      <c r="I4" s="147"/>
      <c r="J4" s="1" t="s">
        <v>26</v>
      </c>
      <c r="K4" s="1"/>
      <c r="M4" s="1"/>
      <c r="N4" s="191"/>
      <c r="O4" s="1"/>
      <c r="P4" s="1"/>
      <c r="Q4" s="1"/>
      <c r="R4" s="1"/>
      <c r="S4" s="1"/>
      <c r="T4" s="1"/>
      <c r="U4" s="1"/>
      <c r="V4" s="1"/>
      <c r="W4" s="95"/>
      <c r="X4" s="1"/>
    </row>
    <row r="5" spans="1:24" x14ac:dyDescent="0.2">
      <c r="A5" s="95" t="s">
        <v>1</v>
      </c>
      <c r="C5" s="7">
        <f>G13</f>
        <v>0.2986111111111111</v>
      </c>
      <c r="D5" s="7">
        <f>G16</f>
        <v>0.50347222222222221</v>
      </c>
      <c r="E5" s="7">
        <f>G28</f>
        <v>0.28125</v>
      </c>
      <c r="F5" s="7">
        <f>G36</f>
        <v>0.55208333333333337</v>
      </c>
      <c r="G5" s="7"/>
      <c r="I5" s="7"/>
      <c r="J5" s="1"/>
      <c r="K5" s="1"/>
      <c r="N5" s="192" t="s">
        <v>150</v>
      </c>
      <c r="O5" s="1"/>
      <c r="P5" s="1"/>
      <c r="Q5" s="1"/>
      <c r="R5" s="1"/>
      <c r="S5" s="1"/>
      <c r="T5" s="1"/>
      <c r="U5" s="1"/>
      <c r="V5" s="1"/>
      <c r="W5" s="95"/>
      <c r="X5" s="7"/>
    </row>
    <row r="6" spans="1:24" x14ac:dyDescent="0.2">
      <c r="A6" s="95" t="s">
        <v>2</v>
      </c>
      <c r="C6" s="7">
        <f>S14</f>
        <v>0.3611111111111111</v>
      </c>
      <c r="D6" s="7">
        <f>S25</f>
        <v>0.88194444444444431</v>
      </c>
      <c r="E6" s="7">
        <f>S34</f>
        <v>0.49652777777777773</v>
      </c>
      <c r="F6" s="7">
        <f>S39</f>
        <v>0.70138888888888884</v>
      </c>
      <c r="G6" s="7"/>
      <c r="I6" s="7"/>
      <c r="J6" s="1"/>
      <c r="K6" s="1"/>
      <c r="N6" s="180">
        <f>S28</f>
        <v>0.31944444444444448</v>
      </c>
      <c r="O6" s="1"/>
      <c r="P6" s="1"/>
      <c r="Q6" s="1"/>
      <c r="R6" s="1"/>
      <c r="S6" s="1"/>
      <c r="T6" s="1"/>
      <c r="U6" s="1"/>
      <c r="V6" s="1"/>
      <c r="W6" s="95"/>
      <c r="X6" s="7"/>
    </row>
    <row r="7" spans="1:24" x14ac:dyDescent="0.2">
      <c r="A7" s="95" t="s">
        <v>3</v>
      </c>
      <c r="C7" s="7">
        <f>C6-C5</f>
        <v>6.25E-2</v>
      </c>
      <c r="D7" s="7">
        <f>D6-D5</f>
        <v>0.3784722222222221</v>
      </c>
      <c r="E7" s="7">
        <f>E6-E5</f>
        <v>0.21527777777777773</v>
      </c>
      <c r="F7" s="7">
        <f>F6-F5</f>
        <v>0.14930555555555547</v>
      </c>
      <c r="G7" s="7"/>
      <c r="I7" s="7"/>
      <c r="J7" s="8">
        <f>SUM(C7:F7)</f>
        <v>0.80555555555555525</v>
      </c>
      <c r="K7" s="95" t="s">
        <v>4</v>
      </c>
      <c r="N7" s="180">
        <f>S29</f>
        <v>0.32777777777777778</v>
      </c>
      <c r="O7" s="8"/>
      <c r="P7" s="8"/>
      <c r="Q7" s="8"/>
      <c r="R7" s="8"/>
      <c r="S7" s="8"/>
      <c r="T7" s="8"/>
      <c r="U7" s="8"/>
      <c r="V7" s="8"/>
      <c r="X7" s="7"/>
    </row>
    <row r="8" spans="1:24" x14ac:dyDescent="0.2">
      <c r="A8" s="95" t="s">
        <v>5</v>
      </c>
      <c r="C8" s="6">
        <f>SUM(E13:E14)</f>
        <v>66</v>
      </c>
      <c r="D8" s="6">
        <f>SUM(E16:E24)</f>
        <v>326.39999999999998</v>
      </c>
      <c r="E8" s="6">
        <f>SUM(E28:E34)</f>
        <v>179.59999999999997</v>
      </c>
      <c r="F8" s="6">
        <f>SUM(E36:E39)</f>
        <v>132</v>
      </c>
      <c r="G8" s="6"/>
      <c r="I8" s="6"/>
      <c r="J8" s="6">
        <f>SUM(C8:F8)</f>
        <v>704</v>
      </c>
      <c r="K8" s="95" t="s">
        <v>6</v>
      </c>
      <c r="N8" s="180"/>
      <c r="O8" s="6"/>
      <c r="P8" s="6"/>
      <c r="Q8" s="6"/>
      <c r="R8" s="6"/>
      <c r="S8" s="6"/>
      <c r="T8" s="6"/>
      <c r="U8" s="6"/>
      <c r="V8" s="6"/>
      <c r="X8" s="6"/>
    </row>
    <row r="9" spans="1:24" x14ac:dyDescent="0.2">
      <c r="A9" s="95" t="s">
        <v>7</v>
      </c>
      <c r="D9" s="9"/>
      <c r="E9" s="9"/>
      <c r="F9" s="10"/>
      <c r="G9" s="10"/>
      <c r="H9" s="10"/>
      <c r="I9" s="1"/>
      <c r="J9" s="1">
        <v>2</v>
      </c>
      <c r="K9" s="95" t="s">
        <v>8</v>
      </c>
      <c r="N9" s="49">
        <f>SUM(E29:E30)</f>
        <v>2.9</v>
      </c>
      <c r="O9" s="1"/>
      <c r="P9" s="1"/>
      <c r="Q9" s="1"/>
      <c r="R9" s="1"/>
      <c r="S9" s="1"/>
      <c r="T9" s="1"/>
      <c r="U9" s="1"/>
      <c r="V9" s="1"/>
    </row>
    <row r="10" spans="1:24" x14ac:dyDescent="0.2">
      <c r="D10" s="10"/>
      <c r="E10" s="95"/>
      <c r="I10" s="95"/>
      <c r="W10" s="95"/>
    </row>
    <row r="11" spans="1:24" x14ac:dyDescent="0.2">
      <c r="A11" s="95" t="s">
        <v>9</v>
      </c>
      <c r="B11" s="1" t="s">
        <v>10</v>
      </c>
      <c r="C11" s="1" t="s">
        <v>11</v>
      </c>
      <c r="E11" s="6" t="s">
        <v>12</v>
      </c>
      <c r="F11" s="1" t="s">
        <v>13</v>
      </c>
      <c r="G11" s="10" t="s">
        <v>14</v>
      </c>
      <c r="H11" s="95" t="s">
        <v>15</v>
      </c>
      <c r="I11" s="10" t="s">
        <v>14</v>
      </c>
      <c r="J11" s="95" t="s">
        <v>15</v>
      </c>
      <c r="K11" s="58" t="s">
        <v>18</v>
      </c>
      <c r="L11" s="58" t="s">
        <v>23</v>
      </c>
      <c r="M11" s="58" t="s">
        <v>18</v>
      </c>
      <c r="N11" s="58" t="s">
        <v>23</v>
      </c>
      <c r="O11" s="58" t="s">
        <v>18</v>
      </c>
      <c r="P11" s="58" t="s">
        <v>23</v>
      </c>
      <c r="Q11" s="58" t="s">
        <v>18</v>
      </c>
      <c r="R11" s="58" t="s">
        <v>23</v>
      </c>
      <c r="S11" s="58" t="s">
        <v>18</v>
      </c>
      <c r="T11" s="58" t="s">
        <v>23</v>
      </c>
      <c r="U11" s="58"/>
      <c r="V11" s="58"/>
      <c r="W11" s="58"/>
      <c r="X11" s="58"/>
    </row>
    <row r="12" spans="1:24" x14ac:dyDescent="0.2">
      <c r="G12" s="10"/>
      <c r="H12" s="95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</row>
    <row r="13" spans="1:24" x14ac:dyDescent="0.2">
      <c r="A13" s="14">
        <v>700</v>
      </c>
      <c r="B13" s="1">
        <v>1</v>
      </c>
      <c r="C13" s="1">
        <v>1</v>
      </c>
      <c r="D13" s="1" t="str">
        <f>CONCATENATE(A13," ",B13)</f>
        <v>700 1</v>
      </c>
      <c r="E13" s="16">
        <f>VLOOKUP(D13,Kilometrit!$C$4:$D$45,2,FALSE)</f>
        <v>33.1</v>
      </c>
      <c r="G13" s="182">
        <v>0.2986111111111111</v>
      </c>
      <c r="H13" s="95" t="s">
        <v>31</v>
      </c>
      <c r="I13" s="12">
        <f>G13+TIME(0,4,0)</f>
        <v>0.30138888888888887</v>
      </c>
      <c r="J13" s="95" t="s">
        <v>30</v>
      </c>
      <c r="K13" s="12">
        <f>I13+TIME(0,18,0)</f>
        <v>0.31388888888888888</v>
      </c>
      <c r="L13" s="95" t="s">
        <v>54</v>
      </c>
      <c r="S13" s="12">
        <f>K13+TIME(0,23,0)</f>
        <v>0.3298611111111111</v>
      </c>
      <c r="T13" s="19" t="s">
        <v>46</v>
      </c>
      <c r="U13" s="12"/>
    </row>
    <row r="14" spans="1:24" s="14" customFormat="1" x14ac:dyDescent="0.2">
      <c r="A14" s="14">
        <v>700</v>
      </c>
      <c r="B14" s="15">
        <v>0</v>
      </c>
      <c r="C14" s="15">
        <v>1</v>
      </c>
      <c r="D14" s="15" t="str">
        <f>CONCATENATE(A14," ",B14)</f>
        <v>700 0</v>
      </c>
      <c r="E14" s="16">
        <f>VLOOKUP(D14,Kilometrit!$C$4:$D$45,2,FALSE)</f>
        <v>32.9</v>
      </c>
      <c r="F14" s="15"/>
      <c r="G14" s="181">
        <v>0.33333333333333331</v>
      </c>
      <c r="H14" s="14" t="s">
        <v>46</v>
      </c>
      <c r="I14" s="24">
        <f>G14+TIME(0,15,0)</f>
        <v>0.34375</v>
      </c>
      <c r="J14" s="14" t="s">
        <v>54</v>
      </c>
      <c r="K14" s="24">
        <f>I14+TIME(0,20,0)</f>
        <v>0.3576388888888889</v>
      </c>
      <c r="L14" s="14" t="s">
        <v>30</v>
      </c>
      <c r="S14" s="24">
        <f>K14+TIME(0,5,0)</f>
        <v>0.3611111111111111</v>
      </c>
      <c r="T14" s="87" t="s">
        <v>31</v>
      </c>
      <c r="U14" s="138"/>
      <c r="W14" s="15"/>
    </row>
    <row r="15" spans="1:24" x14ac:dyDescent="0.2">
      <c r="A15" s="14"/>
      <c r="B15" s="15"/>
      <c r="C15" s="15"/>
      <c r="D15" s="15"/>
      <c r="E15" s="16"/>
      <c r="F15" s="15"/>
      <c r="G15" s="181"/>
      <c r="H15" s="14"/>
      <c r="I15" s="41"/>
      <c r="J15" s="41"/>
      <c r="K15" s="14"/>
      <c r="L15" s="14"/>
      <c r="M15" s="14"/>
      <c r="N15" s="14"/>
      <c r="O15" s="14"/>
      <c r="P15" s="14"/>
      <c r="S15" s="12"/>
      <c r="U15" s="12"/>
    </row>
    <row r="16" spans="1:24" x14ac:dyDescent="0.2">
      <c r="A16" s="14">
        <v>702</v>
      </c>
      <c r="B16" s="1">
        <v>1</v>
      </c>
      <c r="C16" s="1">
        <v>1</v>
      </c>
      <c r="D16" s="1" t="str">
        <f t="shared" ref="D16:D25" si="0">CONCATENATE(A16," ",B16)</f>
        <v>702 1</v>
      </c>
      <c r="E16" s="16">
        <f>VLOOKUP(D16,Kilometrit!$C$4:$D$45,2,FALSE)</f>
        <v>43.6</v>
      </c>
      <c r="G16" s="182">
        <v>0.50347222222222221</v>
      </c>
      <c r="H16" s="95" t="s">
        <v>31</v>
      </c>
      <c r="I16" s="12">
        <f>G16+TIME(0,4,0)</f>
        <v>0.50624999999999998</v>
      </c>
      <c r="J16" s="95" t="s">
        <v>30</v>
      </c>
      <c r="K16" s="12">
        <f>I16+TIME(0,18,0)</f>
        <v>0.51874999999999993</v>
      </c>
      <c r="L16" s="95" t="s">
        <v>54</v>
      </c>
      <c r="M16" s="12">
        <f>K16+TIME(0,18,0)</f>
        <v>0.53124999999999989</v>
      </c>
      <c r="N16" s="95" t="s">
        <v>58</v>
      </c>
      <c r="S16" s="12">
        <f>M16+TIME(0,10,0)</f>
        <v>0.53819444444444431</v>
      </c>
      <c r="T16" s="95" t="s">
        <v>62</v>
      </c>
      <c r="U16" s="12"/>
    </row>
    <row r="17" spans="1:24" x14ac:dyDescent="0.2">
      <c r="A17" s="14">
        <v>702</v>
      </c>
      <c r="B17" s="1">
        <v>0</v>
      </c>
      <c r="C17" s="1">
        <v>1</v>
      </c>
      <c r="D17" s="1" t="str">
        <f t="shared" si="0"/>
        <v>702 0</v>
      </c>
      <c r="E17" s="16">
        <f>VLOOKUP(D17,Kilometrit!$C$4:$D$45,2,FALSE)</f>
        <v>43.3</v>
      </c>
      <c r="G17" s="181">
        <v>0.54166666666666663</v>
      </c>
      <c r="H17" s="89" t="s">
        <v>62</v>
      </c>
      <c r="I17" s="96">
        <f>G17+TIME(0,10,0)</f>
        <v>0.54861111111111105</v>
      </c>
      <c r="J17" s="95" t="s">
        <v>58</v>
      </c>
      <c r="K17" s="24">
        <f>I17+TIME(0,15,0)</f>
        <v>0.55902777777777768</v>
      </c>
      <c r="L17" s="14" t="s">
        <v>54</v>
      </c>
      <c r="M17" s="24">
        <f>K17+TIME(0,20,0)</f>
        <v>0.57291666666666652</v>
      </c>
      <c r="N17" s="14" t="s">
        <v>30</v>
      </c>
      <c r="S17" s="24">
        <f>M17+TIME(0,5,0)</f>
        <v>0.57638888888888873</v>
      </c>
      <c r="T17" s="87" t="s">
        <v>31</v>
      </c>
      <c r="U17" s="24"/>
      <c r="V17" s="87"/>
      <c r="W17" s="12"/>
    </row>
    <row r="18" spans="1:24" x14ac:dyDescent="0.2">
      <c r="A18" s="14">
        <v>602</v>
      </c>
      <c r="B18" s="15">
        <v>1</v>
      </c>
      <c r="C18" s="15">
        <v>1</v>
      </c>
      <c r="D18" s="1" t="str">
        <f t="shared" si="0"/>
        <v>602 1</v>
      </c>
      <c r="E18" s="16">
        <f>VLOOKUP(D18,Kilometrit!$C$4:$D$45,2,FALSE)</f>
        <v>37.299999999999997</v>
      </c>
      <c r="F18" s="15"/>
      <c r="G18" s="181">
        <v>0.59722222222222221</v>
      </c>
      <c r="H18" s="14" t="s">
        <v>31</v>
      </c>
      <c r="I18" s="12">
        <f>G18+TIME(0,17,0)</f>
        <v>0.60902777777777772</v>
      </c>
      <c r="J18" s="95" t="s">
        <v>102</v>
      </c>
      <c r="K18" s="12" t="s">
        <v>99</v>
      </c>
      <c r="L18" s="95" t="s">
        <v>79</v>
      </c>
      <c r="M18" s="24">
        <f>I18+TIME(0,18,0)</f>
        <v>0.62152777777777768</v>
      </c>
      <c r="N18" s="14" t="s">
        <v>55</v>
      </c>
      <c r="O18" s="24"/>
      <c r="P18" s="14"/>
      <c r="S18" s="24">
        <f>M18+TIME(0,10,0)</f>
        <v>0.6284722222222221</v>
      </c>
      <c r="T18" s="14" t="s">
        <v>58</v>
      </c>
      <c r="U18" s="12"/>
    </row>
    <row r="19" spans="1:24" x14ac:dyDescent="0.2">
      <c r="A19" s="95">
        <v>700</v>
      </c>
      <c r="B19" s="1">
        <v>0</v>
      </c>
      <c r="C19" s="15">
        <v>1</v>
      </c>
      <c r="D19" s="1" t="str">
        <f t="shared" si="0"/>
        <v>700 0</v>
      </c>
      <c r="E19" s="16">
        <f>VLOOKUP(D19,Kilometrit!$C$4:$D$45,2,FALSE)</f>
        <v>32.9</v>
      </c>
      <c r="G19" s="182">
        <v>0.63194444444444442</v>
      </c>
      <c r="H19" s="14" t="s">
        <v>58</v>
      </c>
      <c r="I19" s="24">
        <f>G19+TIME(0,15,0)</f>
        <v>0.64236111111111105</v>
      </c>
      <c r="J19" s="14" t="s">
        <v>54</v>
      </c>
      <c r="K19" s="24">
        <f>I19+TIME(0,20,0)</f>
        <v>0.65624999999999989</v>
      </c>
      <c r="L19" s="14" t="s">
        <v>30</v>
      </c>
      <c r="M19" s="14"/>
      <c r="N19" s="14"/>
      <c r="O19" s="14"/>
      <c r="P19" s="14"/>
      <c r="S19" s="24">
        <f>K19+TIME(0,5,0)</f>
        <v>0.6597222222222221</v>
      </c>
      <c r="T19" s="87" t="s">
        <v>31</v>
      </c>
      <c r="U19" s="12"/>
    </row>
    <row r="20" spans="1:24" x14ac:dyDescent="0.2">
      <c r="A20" s="14">
        <v>700</v>
      </c>
      <c r="B20" s="15">
        <v>1</v>
      </c>
      <c r="C20" s="15">
        <v>1</v>
      </c>
      <c r="D20" s="15" t="str">
        <f t="shared" si="0"/>
        <v>700 1</v>
      </c>
      <c r="E20" s="16">
        <f>VLOOKUP(D20,Kilometrit!$C$4:$D$45,2,FALSE)</f>
        <v>33.1</v>
      </c>
      <c r="F20" s="15"/>
      <c r="G20" s="181">
        <v>0.68055555555555547</v>
      </c>
      <c r="H20" s="95" t="s">
        <v>31</v>
      </c>
      <c r="I20" s="12">
        <f>G20+TIME(0,4,0)</f>
        <v>0.68333333333333324</v>
      </c>
      <c r="J20" s="95" t="s">
        <v>30</v>
      </c>
      <c r="K20" s="12">
        <f>I20+TIME(0,18,0)</f>
        <v>0.69583333333333319</v>
      </c>
      <c r="L20" s="95" t="s">
        <v>54</v>
      </c>
      <c r="S20" s="12">
        <f>K20+TIME(0,23,0)</f>
        <v>0.71180555555555547</v>
      </c>
      <c r="T20" s="19" t="s">
        <v>46</v>
      </c>
      <c r="U20" s="12"/>
    </row>
    <row r="21" spans="1:24" x14ac:dyDescent="0.2">
      <c r="A21" s="95">
        <v>602</v>
      </c>
      <c r="B21" s="15">
        <v>0</v>
      </c>
      <c r="C21" s="15">
        <v>1</v>
      </c>
      <c r="D21" s="15" t="str">
        <f t="shared" si="0"/>
        <v>602 0</v>
      </c>
      <c r="E21" s="16">
        <f>VLOOKUP(D21,Kilometrit!$C$4:$D$45,2,FALSE)</f>
        <v>37.299999999999997</v>
      </c>
      <c r="F21" s="95"/>
      <c r="G21" s="183">
        <v>0.71527777777777779</v>
      </c>
      <c r="H21" s="95" t="s">
        <v>46</v>
      </c>
      <c r="I21" s="12">
        <f>G21+TIME(0,8,0)</f>
        <v>0.72083333333333333</v>
      </c>
      <c r="J21" s="95" t="s">
        <v>55</v>
      </c>
      <c r="K21" s="96" t="s">
        <v>99</v>
      </c>
      <c r="L21" s="95" t="s">
        <v>79</v>
      </c>
      <c r="M21" s="96">
        <f>I21+TIME(0,16,0)</f>
        <v>0.7319444444444444</v>
      </c>
      <c r="N21" s="95" t="s">
        <v>102</v>
      </c>
      <c r="S21" s="12">
        <f>M21+TIME(0,16,0)</f>
        <v>0.74305555555555547</v>
      </c>
      <c r="T21" s="19" t="s">
        <v>31</v>
      </c>
    </row>
    <row r="22" spans="1:24" x14ac:dyDescent="0.2">
      <c r="A22" s="95">
        <v>700</v>
      </c>
      <c r="B22" s="15">
        <v>1</v>
      </c>
      <c r="C22" s="15">
        <v>1</v>
      </c>
      <c r="D22" s="15" t="str">
        <f t="shared" si="0"/>
        <v>700 1</v>
      </c>
      <c r="E22" s="16">
        <f>VLOOKUP(D22,Kilometrit!$C$4:$D$45,2,FALSE)</f>
        <v>33.1</v>
      </c>
      <c r="F22" s="95"/>
      <c r="G22" s="183">
        <v>0.76388888888888884</v>
      </c>
      <c r="H22" s="95" t="s">
        <v>31</v>
      </c>
      <c r="I22" s="12">
        <f>G22+TIME(0,4,0)</f>
        <v>0.76666666666666661</v>
      </c>
      <c r="J22" s="95" t="s">
        <v>30</v>
      </c>
      <c r="K22" s="12">
        <f>I22+TIME(0,18,0)</f>
        <v>0.77916666666666656</v>
      </c>
      <c r="L22" s="95" t="s">
        <v>54</v>
      </c>
      <c r="Q22" s="14"/>
      <c r="R22" s="14"/>
      <c r="S22" s="12">
        <f>K22+TIME(0,18,0)</f>
        <v>0.79166666666666652</v>
      </c>
      <c r="T22" s="19" t="s">
        <v>46</v>
      </c>
    </row>
    <row r="23" spans="1:24" x14ac:dyDescent="0.2">
      <c r="A23" s="95">
        <v>700</v>
      </c>
      <c r="B23" s="15">
        <v>0</v>
      </c>
      <c r="C23" s="15">
        <v>1</v>
      </c>
      <c r="D23" s="15" t="str">
        <f t="shared" si="0"/>
        <v>700 0</v>
      </c>
      <c r="E23" s="16">
        <f>VLOOKUP(D23,Kilometrit!$C$4:$D$45,2,FALSE)</f>
        <v>32.9</v>
      </c>
      <c r="F23" s="95"/>
      <c r="G23" s="183">
        <v>0.79861111111111116</v>
      </c>
      <c r="H23" s="14" t="s">
        <v>46</v>
      </c>
      <c r="I23" s="24">
        <f>G23+TIME(0,15,0)</f>
        <v>0.80902777777777779</v>
      </c>
      <c r="J23" s="14" t="s">
        <v>54</v>
      </c>
      <c r="K23" s="24">
        <f>I23+TIME(0,20,0)</f>
        <v>0.82291666666666663</v>
      </c>
      <c r="L23" s="14" t="s">
        <v>30</v>
      </c>
      <c r="M23" s="14"/>
      <c r="N23" s="14"/>
      <c r="O23" s="14"/>
      <c r="P23" s="14"/>
      <c r="S23" s="24">
        <f>K23+TIME(0,5,0)</f>
        <v>0.82638888888888884</v>
      </c>
      <c r="T23" s="87" t="s">
        <v>31</v>
      </c>
      <c r="U23" s="12"/>
    </row>
    <row r="24" spans="1:24" x14ac:dyDescent="0.2">
      <c r="A24" s="139" t="s">
        <v>156</v>
      </c>
      <c r="B24" s="15">
        <v>1</v>
      </c>
      <c r="C24" s="15">
        <v>1</v>
      </c>
      <c r="D24" s="15" t="str">
        <f t="shared" si="0"/>
        <v>701A 1</v>
      </c>
      <c r="E24" s="16">
        <f>VLOOKUP(D24,Kilometrit!$C$4:$D$45,2,FALSE)</f>
        <v>32.9</v>
      </c>
      <c r="F24" s="15"/>
      <c r="G24" s="181">
        <v>0.84722222222222221</v>
      </c>
      <c r="H24" s="95" t="s">
        <v>31</v>
      </c>
      <c r="I24" s="12">
        <f>G24+TIME(0,4,0)</f>
        <v>0.85</v>
      </c>
      <c r="J24" s="95" t="s">
        <v>30</v>
      </c>
      <c r="K24" s="12">
        <f>I24+TIME(0,18,0)</f>
        <v>0.86249999999999993</v>
      </c>
      <c r="L24" s="95" t="s">
        <v>54</v>
      </c>
      <c r="S24" s="12">
        <f>K24+TIME(0,18,0)</f>
        <v>0.87499999999999989</v>
      </c>
      <c r="T24" s="19" t="s">
        <v>46</v>
      </c>
      <c r="U24" s="12"/>
    </row>
    <row r="25" spans="1:24" ht="12" customHeight="1" x14ac:dyDescent="0.2">
      <c r="A25" s="162" t="s">
        <v>157</v>
      </c>
      <c r="B25" s="152">
        <v>1</v>
      </c>
      <c r="C25" s="152">
        <v>2</v>
      </c>
      <c r="D25" s="152" t="str">
        <f t="shared" si="0"/>
        <v>701B 1</v>
      </c>
      <c r="E25" s="153">
        <f>VLOOKUP(D25,Kilometrit!$C$4:$D$48,2,FALSE)</f>
        <v>8</v>
      </c>
      <c r="F25" s="152"/>
      <c r="G25" s="196">
        <f>S24</f>
        <v>0.87499999999999989</v>
      </c>
      <c r="H25" s="151" t="s">
        <v>58</v>
      </c>
      <c r="I25" s="154"/>
      <c r="J25" s="151"/>
      <c r="K25" s="154"/>
      <c r="L25" s="151"/>
      <c r="M25" s="154"/>
      <c r="N25" s="155"/>
      <c r="O25" s="151"/>
      <c r="P25" s="151"/>
      <c r="Q25" s="151"/>
      <c r="R25" s="151"/>
      <c r="S25" s="154">
        <f>G25+TIME(0,10,0)</f>
        <v>0.88194444444444431</v>
      </c>
      <c r="T25" s="151" t="s">
        <v>55</v>
      </c>
      <c r="U25" s="151" t="s">
        <v>191</v>
      </c>
      <c r="V25" s="151"/>
      <c r="W25" s="151"/>
      <c r="X25" s="151"/>
    </row>
    <row r="26" spans="1:24" x14ac:dyDescent="0.2">
      <c r="A26" s="139"/>
      <c r="E26" s="16"/>
      <c r="G26" s="186"/>
      <c r="I26" s="96"/>
      <c r="V26" s="19"/>
      <c r="W26" s="12"/>
    </row>
    <row r="27" spans="1:24" s="14" customFormat="1" x14ac:dyDescent="0.2">
      <c r="A27" s="139"/>
      <c r="B27" s="15"/>
      <c r="C27" s="15"/>
      <c r="D27" s="15"/>
      <c r="E27" s="16"/>
      <c r="F27" s="15"/>
      <c r="G27" s="187"/>
      <c r="H27" s="15"/>
      <c r="I27" s="17"/>
      <c r="V27" s="87"/>
      <c r="W27" s="24"/>
    </row>
    <row r="28" spans="1:24" x14ac:dyDescent="0.2">
      <c r="A28" s="175" t="s">
        <v>165</v>
      </c>
      <c r="B28" s="48">
        <v>1</v>
      </c>
      <c r="C28" s="48">
        <v>2</v>
      </c>
      <c r="D28" s="48" t="str">
        <f>CONCATENATE(A28," ",B28)</f>
        <v>703A 1</v>
      </c>
      <c r="E28" s="49">
        <f>VLOOKUP(D28,Kilometrit!$C$4:$D$45,2,FALSE)</f>
        <v>40.299999999999997</v>
      </c>
      <c r="F28" s="48"/>
      <c r="G28" s="184">
        <v>0.28125</v>
      </c>
      <c r="H28" s="193" t="s">
        <v>60</v>
      </c>
      <c r="I28" s="194">
        <f>G28+TIME(0,15,0)</f>
        <v>0.29166666666666669</v>
      </c>
      <c r="J28" s="47" t="s">
        <v>58</v>
      </c>
      <c r="K28" s="159">
        <f>I28+TIME(0,15,0)</f>
        <v>0.30208333333333337</v>
      </c>
      <c r="L28" s="47" t="s">
        <v>54</v>
      </c>
      <c r="M28" s="47"/>
      <c r="N28" s="47"/>
      <c r="O28" s="47"/>
      <c r="P28" s="47"/>
      <c r="Q28" s="159">
        <f>K28+TIME(0,20,0)</f>
        <v>0.31597222222222227</v>
      </c>
      <c r="R28" s="47" t="s">
        <v>30</v>
      </c>
      <c r="S28" s="159">
        <f>Q28+TIME(0,5,0)</f>
        <v>0.31944444444444448</v>
      </c>
      <c r="T28" s="160" t="s">
        <v>31</v>
      </c>
      <c r="U28" s="192" t="s">
        <v>190</v>
      </c>
      <c r="V28" s="160"/>
      <c r="W28" s="159"/>
    </row>
    <row r="29" spans="1:24" x14ac:dyDescent="0.2">
      <c r="A29" s="47"/>
      <c r="B29" s="48"/>
      <c r="C29" s="48"/>
      <c r="D29" s="48" t="str">
        <f t="shared" ref="D29:D30" si="1">CONCATENATE(A29," ",B29)</f>
        <v xml:space="preserve"> </v>
      </c>
      <c r="E29" s="49">
        <f>VLOOKUP(D29,Kilometrit!$C$4:$D$45,2,FALSE)</f>
        <v>0</v>
      </c>
      <c r="F29" s="48"/>
      <c r="G29" s="184"/>
      <c r="H29" s="193"/>
      <c r="I29" s="194"/>
      <c r="J29" s="47"/>
      <c r="K29" s="159"/>
      <c r="L29" s="47"/>
      <c r="M29" s="159"/>
      <c r="N29" s="195" t="s">
        <v>163</v>
      </c>
      <c r="O29" s="159"/>
      <c r="P29" s="47"/>
      <c r="Q29" s="159">
        <f>S28+TIME(0,7,0)</f>
        <v>0.32430555555555557</v>
      </c>
      <c r="R29" s="47" t="s">
        <v>41</v>
      </c>
      <c r="S29" s="172">
        <f>Q29+TIME(0,5,0)</f>
        <v>0.32777777777777778</v>
      </c>
      <c r="T29" s="47" t="s">
        <v>61</v>
      </c>
      <c r="U29" s="159"/>
      <c r="V29" s="160"/>
      <c r="W29" s="159"/>
    </row>
    <row r="30" spans="1:24" x14ac:dyDescent="0.2">
      <c r="A30" s="139" t="s">
        <v>151</v>
      </c>
      <c r="B30" s="1">
        <v>0</v>
      </c>
      <c r="C30" s="1">
        <v>2</v>
      </c>
      <c r="D30" s="1" t="str">
        <f t="shared" si="1"/>
        <v>S2 0</v>
      </c>
      <c r="E30" s="16">
        <f>VLOOKUP(D30,Kilometrit!$C$4:$D$45,2,FALSE)</f>
        <v>2.9</v>
      </c>
      <c r="G30" s="182">
        <f>S29</f>
        <v>0.32777777777777778</v>
      </c>
      <c r="H30" s="89" t="s">
        <v>61</v>
      </c>
      <c r="I30" s="96"/>
      <c r="K30" s="12"/>
      <c r="M30" s="12"/>
      <c r="N30" s="25"/>
      <c r="O30" s="24"/>
      <c r="Q30" s="12"/>
      <c r="S30" s="13">
        <f>G30+TIME(0,5,0)</f>
        <v>0.33124999999999999</v>
      </c>
      <c r="T30" s="95" t="s">
        <v>31</v>
      </c>
      <c r="U30" s="24"/>
      <c r="V30" s="87"/>
      <c r="W30" s="12"/>
    </row>
    <row r="31" spans="1:24" x14ac:dyDescent="0.2">
      <c r="A31" s="14">
        <v>700</v>
      </c>
      <c r="B31" s="1">
        <v>1</v>
      </c>
      <c r="C31" s="1">
        <v>2</v>
      </c>
      <c r="D31" s="1" t="str">
        <f>CONCATENATE(A31," ",B31)</f>
        <v>700 1</v>
      </c>
      <c r="E31" s="16">
        <f>VLOOKUP(D31,Kilometrit!$C$4:$D$45,2,FALSE)</f>
        <v>33.1</v>
      </c>
      <c r="G31" s="182">
        <v>0.34027777777777773</v>
      </c>
      <c r="H31" s="95" t="s">
        <v>31</v>
      </c>
      <c r="I31" s="12">
        <f>G31+TIME(0,4,0)</f>
        <v>0.3430555555555555</v>
      </c>
      <c r="J31" s="95" t="s">
        <v>30</v>
      </c>
      <c r="K31" s="12">
        <f>I31+TIME(0,18,0)</f>
        <v>0.35555555555555551</v>
      </c>
      <c r="L31" s="95" t="s">
        <v>54</v>
      </c>
      <c r="S31" s="12">
        <f>K31+TIME(0,23,0)</f>
        <v>0.37152777777777773</v>
      </c>
      <c r="T31" s="19" t="s">
        <v>58</v>
      </c>
      <c r="W31" s="12"/>
    </row>
    <row r="32" spans="1:24" x14ac:dyDescent="0.2">
      <c r="A32" s="14">
        <v>700</v>
      </c>
      <c r="B32" s="15">
        <v>0</v>
      </c>
      <c r="C32" s="15">
        <v>2</v>
      </c>
      <c r="D32" s="15" t="str">
        <f>CONCATENATE(A32," ",B32)</f>
        <v>700 0</v>
      </c>
      <c r="E32" s="16">
        <f>VLOOKUP(D32,Kilometrit!$C$4:$D$45,2,FALSE)</f>
        <v>32.9</v>
      </c>
      <c r="F32" s="15"/>
      <c r="G32" s="181">
        <v>0.375</v>
      </c>
      <c r="H32" s="14" t="s">
        <v>46</v>
      </c>
      <c r="I32" s="24">
        <f>G32+TIME(0,15,0)</f>
        <v>0.38541666666666669</v>
      </c>
      <c r="J32" s="14" t="s">
        <v>54</v>
      </c>
      <c r="K32" s="24">
        <f>I32+TIME(0,20,0)</f>
        <v>0.39930555555555558</v>
      </c>
      <c r="L32" s="14" t="s">
        <v>30</v>
      </c>
      <c r="M32" s="14"/>
      <c r="N32" s="14"/>
      <c r="O32" s="14"/>
      <c r="P32" s="14"/>
      <c r="S32" s="24">
        <f>K32+TIME(0,5,0)</f>
        <v>0.40277777777777779</v>
      </c>
      <c r="T32" s="87" t="s">
        <v>31</v>
      </c>
      <c r="W32" s="12"/>
    </row>
    <row r="33" spans="1:23" x14ac:dyDescent="0.2">
      <c r="A33" s="95">
        <v>700</v>
      </c>
      <c r="B33" s="1">
        <v>1</v>
      </c>
      <c r="C33" s="15">
        <v>2</v>
      </c>
      <c r="D33" s="15" t="str">
        <f>CONCATENATE(A33," ",B33)</f>
        <v>700 1</v>
      </c>
      <c r="E33" s="16">
        <f>VLOOKUP(D33,Kilometrit!$C$4:$D$45,2,FALSE)</f>
        <v>33.1</v>
      </c>
      <c r="F33" s="95"/>
      <c r="G33" s="183">
        <v>0.4236111111111111</v>
      </c>
      <c r="H33" s="95" t="s">
        <v>31</v>
      </c>
      <c r="I33" s="12">
        <f>G33+TIME(0,4,0)</f>
        <v>0.42638888888888887</v>
      </c>
      <c r="J33" s="95" t="s">
        <v>30</v>
      </c>
      <c r="K33" s="12">
        <f>I33+TIME(0,18,0)</f>
        <v>0.43888888888888888</v>
      </c>
      <c r="L33" s="95" t="s">
        <v>54</v>
      </c>
      <c r="S33" s="12">
        <f>K33+TIME(0,18,0)</f>
        <v>0.4513888888888889</v>
      </c>
      <c r="T33" s="19" t="s">
        <v>46</v>
      </c>
      <c r="W33" s="95"/>
    </row>
    <row r="34" spans="1:23" x14ac:dyDescent="0.2">
      <c r="A34" s="14">
        <v>602</v>
      </c>
      <c r="B34" s="1">
        <v>0</v>
      </c>
      <c r="C34" s="15">
        <v>2</v>
      </c>
      <c r="D34" s="15" t="str">
        <f>CONCATENATE(A34," ",B34)</f>
        <v>602 0</v>
      </c>
      <c r="E34" s="16">
        <f>VLOOKUP(D34,Kilometrit!$C$4:$D$45,2,FALSE)</f>
        <v>37.299999999999997</v>
      </c>
      <c r="F34" s="15"/>
      <c r="G34" s="181">
        <v>0.46527777777777773</v>
      </c>
      <c r="H34" s="95" t="s">
        <v>46</v>
      </c>
      <c r="I34" s="12">
        <f>G34+TIME(0,8,0)</f>
        <v>0.47083333333333327</v>
      </c>
      <c r="J34" s="95" t="s">
        <v>55</v>
      </c>
      <c r="K34" s="96" t="s">
        <v>99</v>
      </c>
      <c r="L34" s="95" t="s">
        <v>79</v>
      </c>
      <c r="M34" s="96">
        <f>I34+TIME(0,19,0)</f>
        <v>0.48402777777777772</v>
      </c>
      <c r="N34" s="95" t="s">
        <v>102</v>
      </c>
      <c r="S34" s="12">
        <f>M34+TIME(0,18,0)</f>
        <v>0.49652777777777773</v>
      </c>
      <c r="T34" s="19" t="s">
        <v>31</v>
      </c>
      <c r="W34" s="12"/>
    </row>
    <row r="35" spans="1:23" x14ac:dyDescent="0.2">
      <c r="C35" s="15"/>
      <c r="E35" s="16"/>
      <c r="G35" s="182"/>
      <c r="H35" s="95"/>
      <c r="I35" s="95"/>
      <c r="W35" s="12"/>
    </row>
    <row r="36" spans="1:23" x14ac:dyDescent="0.2">
      <c r="A36" s="14">
        <v>700</v>
      </c>
      <c r="B36" s="1">
        <v>0</v>
      </c>
      <c r="C36" s="15">
        <v>2</v>
      </c>
      <c r="D36" s="15" t="str">
        <f>CONCATENATE(A36," ",B36)</f>
        <v>700 0</v>
      </c>
      <c r="E36" s="16">
        <f>VLOOKUP(D36,Kilometrit!$C$4:$D$45,2,FALSE)</f>
        <v>32.9</v>
      </c>
      <c r="G36" s="182">
        <v>0.55208333333333337</v>
      </c>
      <c r="H36" s="95" t="s">
        <v>31</v>
      </c>
      <c r="I36" s="12">
        <f>G36+TIME(0,4,0)</f>
        <v>0.55486111111111114</v>
      </c>
      <c r="J36" s="95" t="s">
        <v>30</v>
      </c>
      <c r="K36" s="12">
        <f>I36+TIME(0,18,0)</f>
        <v>0.56736111111111109</v>
      </c>
      <c r="L36" s="95" t="s">
        <v>54</v>
      </c>
      <c r="S36" s="12">
        <f>K36+TIME(0,18,0)</f>
        <v>0.57986111111111105</v>
      </c>
      <c r="T36" s="19" t="s">
        <v>58</v>
      </c>
      <c r="W36" s="96"/>
    </row>
    <row r="37" spans="1:23" x14ac:dyDescent="0.2">
      <c r="A37" s="14">
        <v>700</v>
      </c>
      <c r="B37" s="1">
        <v>1</v>
      </c>
      <c r="C37" s="15">
        <v>2</v>
      </c>
      <c r="D37" s="15" t="str">
        <f>CONCATENATE(A37," ",B37)</f>
        <v>700 1</v>
      </c>
      <c r="E37" s="16">
        <f>VLOOKUP(D37,Kilometrit!$C$4:$D$45,2,FALSE)</f>
        <v>33.1</v>
      </c>
      <c r="G37" s="183">
        <v>0.59027777777777779</v>
      </c>
      <c r="H37" s="14" t="s">
        <v>46</v>
      </c>
      <c r="I37" s="24">
        <f>G37+TIME(0,15,0)</f>
        <v>0.60069444444444442</v>
      </c>
      <c r="J37" s="14" t="s">
        <v>54</v>
      </c>
      <c r="K37" s="24">
        <f>I37+TIME(0,20,0)</f>
        <v>0.61458333333333326</v>
      </c>
      <c r="L37" s="14" t="s">
        <v>30</v>
      </c>
      <c r="M37" s="14"/>
      <c r="N37" s="14"/>
      <c r="Q37" s="14"/>
      <c r="R37" s="14"/>
      <c r="S37" s="24">
        <f>K37+TIME(0,5,0)</f>
        <v>0.61805555555555547</v>
      </c>
      <c r="T37" s="87" t="s">
        <v>31</v>
      </c>
      <c r="W37" s="96"/>
    </row>
    <row r="38" spans="1:23" x14ac:dyDescent="0.2">
      <c r="A38" s="14">
        <v>700</v>
      </c>
      <c r="B38" s="1">
        <v>0</v>
      </c>
      <c r="C38" s="15">
        <v>2</v>
      </c>
      <c r="D38" s="15" t="str">
        <f>CONCATENATE(A38," ",B38)</f>
        <v>700 0</v>
      </c>
      <c r="E38" s="16">
        <f>VLOOKUP(D38,Kilometrit!$C$4:$D$45,2,FALSE)</f>
        <v>32.9</v>
      </c>
      <c r="G38" s="182">
        <v>0.63888888888888895</v>
      </c>
      <c r="H38" s="95" t="s">
        <v>31</v>
      </c>
      <c r="I38" s="12">
        <f>G38+TIME(0,4,0)</f>
        <v>0.64166666666666672</v>
      </c>
      <c r="J38" s="95" t="s">
        <v>30</v>
      </c>
      <c r="K38" s="12">
        <f>I38+TIME(0,18,0)</f>
        <v>0.65416666666666667</v>
      </c>
      <c r="L38" s="95" t="s">
        <v>54</v>
      </c>
      <c r="S38" s="12">
        <f>K38+TIME(0,23,0)</f>
        <v>0.67013888888888895</v>
      </c>
      <c r="T38" s="19" t="s">
        <v>58</v>
      </c>
      <c r="W38" s="12"/>
    </row>
    <row r="39" spans="1:23" x14ac:dyDescent="0.2">
      <c r="A39" s="14">
        <v>700</v>
      </c>
      <c r="B39" s="1">
        <v>1</v>
      </c>
      <c r="C39" s="15">
        <v>2</v>
      </c>
      <c r="D39" s="15" t="str">
        <f>CONCATENATE(A39," ",B39)</f>
        <v>700 1</v>
      </c>
      <c r="E39" s="16">
        <f>VLOOKUP(D39,Kilometrit!$C$4:$D$45,2,FALSE)</f>
        <v>33.1</v>
      </c>
      <c r="F39" s="95"/>
      <c r="G39" s="183">
        <v>0.67361111111111116</v>
      </c>
      <c r="H39" s="14" t="s">
        <v>46</v>
      </c>
      <c r="I39" s="24">
        <f>G39+TIME(0,15,0)</f>
        <v>0.68402777777777779</v>
      </c>
      <c r="J39" s="14" t="s">
        <v>54</v>
      </c>
      <c r="K39" s="24">
        <f>I39+TIME(0,20,0)</f>
        <v>0.69791666666666663</v>
      </c>
      <c r="L39" s="14" t="s">
        <v>30</v>
      </c>
      <c r="M39" s="14"/>
      <c r="N39" s="14"/>
      <c r="O39" s="14"/>
      <c r="P39" s="14"/>
      <c r="S39" s="24">
        <f>K39+TIME(0,5,0)</f>
        <v>0.70138888888888884</v>
      </c>
      <c r="T39" s="87" t="s">
        <v>31</v>
      </c>
      <c r="W39" s="95"/>
    </row>
    <row r="40" spans="1:23" x14ac:dyDescent="0.2">
      <c r="C40" s="15"/>
      <c r="E40" s="16"/>
      <c r="G40" s="186"/>
      <c r="I40" s="96"/>
      <c r="W40" s="12"/>
    </row>
    <row r="41" spans="1:23" x14ac:dyDescent="0.2">
      <c r="A41" s="14"/>
      <c r="E41" s="16"/>
      <c r="I41" s="45"/>
      <c r="J41" s="43"/>
      <c r="K41" s="12"/>
      <c r="M41" s="12"/>
      <c r="U41" s="42"/>
      <c r="V41" s="43"/>
      <c r="W41" s="12"/>
    </row>
    <row r="42" spans="1:23" x14ac:dyDescent="0.2">
      <c r="A42" s="14"/>
      <c r="E42" s="16"/>
      <c r="G42" s="7"/>
      <c r="I42" s="45"/>
      <c r="J42" s="43"/>
      <c r="Q42" s="24"/>
      <c r="R42" s="14"/>
      <c r="S42" s="24"/>
      <c r="T42" s="14"/>
      <c r="U42" s="120"/>
      <c r="V42" s="119"/>
      <c r="W42" s="12"/>
    </row>
    <row r="43" spans="1:23" x14ac:dyDescent="0.2">
      <c r="A43" s="14"/>
      <c r="B43" s="15"/>
      <c r="C43" s="15"/>
      <c r="D43" s="15"/>
      <c r="E43" s="16"/>
      <c r="F43" s="15"/>
      <c r="G43" s="15"/>
      <c r="H43" s="15"/>
      <c r="I43" s="46"/>
      <c r="J43" s="44"/>
      <c r="K43" s="12"/>
      <c r="M43" s="12"/>
      <c r="O43" s="14"/>
      <c r="P43" s="14"/>
      <c r="Q43" s="24"/>
      <c r="R43" s="14"/>
      <c r="S43" s="14"/>
      <c r="T43" s="14"/>
      <c r="U43" s="120"/>
      <c r="V43" s="44"/>
      <c r="W43" s="12"/>
    </row>
    <row r="44" spans="1:23" x14ac:dyDescent="0.2">
      <c r="C44" s="15"/>
      <c r="E44" s="16"/>
      <c r="I44" s="45"/>
      <c r="J44" s="44"/>
      <c r="K44" s="41"/>
      <c r="L44" s="41"/>
      <c r="M44" s="14"/>
      <c r="N44" s="14"/>
      <c r="O44" s="14"/>
      <c r="P44" s="14"/>
      <c r="Q44" s="24"/>
      <c r="R44" s="14"/>
      <c r="S44" s="24"/>
      <c r="T44" s="14"/>
      <c r="U44" s="120"/>
      <c r="V44" s="119"/>
      <c r="W44" s="12"/>
    </row>
    <row r="45" spans="1:23" x14ac:dyDescent="0.2">
      <c r="A45" s="14"/>
      <c r="B45" s="15"/>
      <c r="C45" s="15"/>
      <c r="D45" s="15"/>
      <c r="E45" s="16"/>
      <c r="F45" s="15"/>
      <c r="G45" s="15"/>
      <c r="H45" s="15"/>
      <c r="I45" s="46"/>
      <c r="J45" s="43"/>
      <c r="K45" s="12"/>
      <c r="M45" s="12"/>
      <c r="U45" s="42"/>
      <c r="V45" s="121"/>
      <c r="W45" s="12"/>
    </row>
    <row r="46" spans="1:23" x14ac:dyDescent="0.2">
      <c r="B46" s="15"/>
      <c r="C46" s="15"/>
      <c r="D46" s="15"/>
      <c r="E46" s="16"/>
      <c r="F46" s="95"/>
      <c r="G46" s="95"/>
      <c r="H46" s="95"/>
      <c r="I46" s="42"/>
      <c r="J46" s="43"/>
      <c r="O46" s="12"/>
      <c r="U46" s="42"/>
      <c r="V46" s="121"/>
      <c r="W46" s="95"/>
    </row>
    <row r="47" spans="1:23" x14ac:dyDescent="0.2">
      <c r="B47" s="15"/>
      <c r="C47" s="15"/>
      <c r="D47" s="15"/>
      <c r="E47" s="16"/>
      <c r="F47" s="95"/>
      <c r="G47" s="95"/>
      <c r="H47" s="95"/>
      <c r="I47" s="42"/>
      <c r="J47" s="43"/>
      <c r="K47" s="12"/>
      <c r="M47" s="12"/>
      <c r="U47" s="42"/>
      <c r="V47" s="121"/>
      <c r="W47" s="95"/>
    </row>
    <row r="48" spans="1:23" x14ac:dyDescent="0.2">
      <c r="B48" s="15"/>
      <c r="C48" s="15"/>
      <c r="D48" s="15"/>
      <c r="E48" s="16"/>
      <c r="F48" s="95"/>
      <c r="G48" s="95"/>
      <c r="H48" s="95"/>
      <c r="I48" s="42"/>
      <c r="J48" s="44"/>
      <c r="K48" s="41"/>
      <c r="L48" s="41"/>
      <c r="M48" s="14"/>
      <c r="N48" s="14"/>
      <c r="O48" s="14"/>
      <c r="P48" s="14"/>
      <c r="Q48" s="24"/>
      <c r="R48" s="14"/>
      <c r="S48" s="24"/>
      <c r="T48" s="14"/>
      <c r="U48" s="120"/>
      <c r="V48" s="119"/>
      <c r="W48" s="12"/>
    </row>
    <row r="49" spans="1:23" x14ac:dyDescent="0.2">
      <c r="A49" s="14"/>
      <c r="B49" s="15"/>
      <c r="C49" s="15"/>
      <c r="D49" s="15"/>
      <c r="E49" s="16"/>
      <c r="F49" s="15"/>
      <c r="G49" s="15"/>
      <c r="H49" s="15"/>
      <c r="I49" s="46"/>
      <c r="J49" s="43"/>
      <c r="K49" s="12"/>
      <c r="M49" s="12"/>
      <c r="U49" s="42"/>
      <c r="V49" s="121"/>
      <c r="W49" s="12"/>
    </row>
    <row r="50" spans="1:23" s="14" customFormat="1" x14ac:dyDescent="0.2">
      <c r="B50" s="15"/>
      <c r="C50" s="15"/>
      <c r="D50" s="15"/>
      <c r="E50" s="16"/>
      <c r="F50" s="15"/>
      <c r="G50" s="15"/>
      <c r="H50" s="15"/>
      <c r="I50" s="46"/>
      <c r="W50" s="24"/>
    </row>
    <row r="51" spans="1:23" x14ac:dyDescent="0.2">
      <c r="C51" s="15"/>
      <c r="D51" s="15"/>
      <c r="E51" s="16"/>
      <c r="I51" s="45"/>
      <c r="J51" s="43"/>
      <c r="K51" s="12"/>
      <c r="M51" s="12"/>
      <c r="U51" s="42"/>
      <c r="V51" s="43"/>
      <c r="W51" s="12"/>
    </row>
    <row r="52" spans="1:23" x14ac:dyDescent="0.2">
      <c r="B52" s="95"/>
      <c r="C52" s="95"/>
      <c r="D52" s="95"/>
      <c r="E52" s="95"/>
      <c r="F52" s="95"/>
      <c r="G52" s="95"/>
      <c r="H52" s="95"/>
      <c r="I52" s="43"/>
      <c r="W52" s="95"/>
    </row>
    <row r="53" spans="1:23" x14ac:dyDescent="0.2">
      <c r="C53" s="15"/>
      <c r="D53" s="15"/>
      <c r="E53" s="16"/>
      <c r="F53" s="95"/>
      <c r="G53" s="95"/>
      <c r="H53" s="95"/>
      <c r="I53" s="42"/>
      <c r="J53" s="43"/>
      <c r="K53" s="12"/>
      <c r="M53" s="12"/>
      <c r="U53" s="42"/>
      <c r="V53" s="121"/>
      <c r="W53" s="95"/>
    </row>
    <row r="54" spans="1:23" x14ac:dyDescent="0.2">
      <c r="A54" s="14"/>
      <c r="C54" s="15"/>
      <c r="D54" s="15"/>
      <c r="E54" s="16"/>
      <c r="F54" s="15"/>
      <c r="G54" s="15"/>
      <c r="H54" s="15"/>
      <c r="I54" s="46"/>
      <c r="J54" s="43"/>
      <c r="O54" s="12"/>
      <c r="U54" s="42"/>
      <c r="V54" s="121"/>
      <c r="W54" s="12"/>
    </row>
    <row r="55" spans="1:23" x14ac:dyDescent="0.2">
      <c r="A55" s="14"/>
      <c r="C55" s="15"/>
      <c r="D55" s="15"/>
      <c r="E55" s="16"/>
      <c r="F55" s="15"/>
      <c r="G55" s="15"/>
      <c r="H55" s="15"/>
      <c r="I55" s="46"/>
      <c r="J55" s="43"/>
      <c r="O55" s="12"/>
      <c r="U55" s="42"/>
      <c r="V55" s="121"/>
      <c r="W55" s="12"/>
    </row>
    <row r="56" spans="1:23" x14ac:dyDescent="0.2">
      <c r="A56" s="14"/>
      <c r="C56" s="15"/>
      <c r="D56" s="15"/>
      <c r="E56" s="16"/>
      <c r="I56" s="45"/>
      <c r="J56" s="43"/>
      <c r="K56" s="12"/>
      <c r="M56" s="12"/>
      <c r="U56" s="42"/>
      <c r="V56" s="121"/>
      <c r="W56" s="96"/>
    </row>
    <row r="57" spans="1:23" x14ac:dyDescent="0.2">
      <c r="A57" s="14"/>
      <c r="C57" s="15"/>
      <c r="D57" s="15"/>
      <c r="E57" s="16"/>
      <c r="I57" s="42"/>
      <c r="J57" s="44"/>
      <c r="K57" s="41"/>
      <c r="L57" s="41"/>
      <c r="M57" s="14"/>
      <c r="N57" s="14"/>
      <c r="O57" s="14"/>
      <c r="P57" s="14"/>
      <c r="Q57" s="24"/>
      <c r="R57" s="14"/>
      <c r="S57" s="24"/>
      <c r="T57" s="14"/>
      <c r="U57" s="120"/>
      <c r="V57" s="119"/>
      <c r="W57" s="96"/>
    </row>
    <row r="58" spans="1:23" x14ac:dyDescent="0.2">
      <c r="A58" s="14"/>
      <c r="C58" s="15"/>
      <c r="D58" s="15"/>
      <c r="E58" s="16"/>
      <c r="I58" s="45"/>
      <c r="J58" s="43"/>
      <c r="K58" s="12"/>
      <c r="M58" s="12"/>
      <c r="U58" s="42"/>
      <c r="V58" s="121"/>
      <c r="W58" s="12"/>
    </row>
    <row r="59" spans="1:23" x14ac:dyDescent="0.2">
      <c r="A59" s="14"/>
      <c r="C59" s="15"/>
      <c r="D59" s="15"/>
      <c r="E59" s="16"/>
      <c r="F59" s="95"/>
      <c r="G59" s="95"/>
      <c r="H59" s="95"/>
      <c r="I59" s="42"/>
      <c r="J59" s="44"/>
      <c r="K59" s="41"/>
      <c r="L59" s="41"/>
      <c r="M59" s="14"/>
      <c r="N59" s="14"/>
      <c r="O59" s="14"/>
      <c r="P59" s="14"/>
      <c r="Q59" s="24"/>
      <c r="R59" s="14"/>
      <c r="S59" s="24"/>
      <c r="T59" s="14"/>
      <c r="U59" s="120"/>
      <c r="V59" s="119"/>
      <c r="W59" s="95"/>
    </row>
    <row r="60" spans="1:23" x14ac:dyDescent="0.2">
      <c r="B60" s="95"/>
      <c r="C60" s="95"/>
      <c r="D60" s="15"/>
      <c r="E60" s="16"/>
      <c r="F60" s="95"/>
      <c r="G60" s="95"/>
      <c r="H60" s="95"/>
      <c r="I60" s="95"/>
      <c r="W60" s="95"/>
    </row>
    <row r="61" spans="1:23" x14ac:dyDescent="0.2">
      <c r="B61" s="95"/>
      <c r="C61" s="95"/>
      <c r="D61" s="15"/>
      <c r="E61" s="16"/>
      <c r="F61" s="95"/>
      <c r="G61" s="95"/>
      <c r="H61" s="95"/>
      <c r="I61" s="95"/>
      <c r="W61" s="95"/>
    </row>
    <row r="62" spans="1:23" x14ac:dyDescent="0.2">
      <c r="B62" s="95"/>
      <c r="C62" s="95"/>
      <c r="D62" s="15" t="str">
        <f>CONCATENATE(A62," ",B62)</f>
        <v xml:space="preserve"> </v>
      </c>
      <c r="E62" s="16"/>
      <c r="F62" s="95"/>
      <c r="G62" s="95"/>
      <c r="H62" s="95"/>
      <c r="I62" s="95"/>
      <c r="W62" s="95"/>
    </row>
    <row r="63" spans="1:23" x14ac:dyDescent="0.2">
      <c r="A63" s="14"/>
      <c r="E63" s="16"/>
      <c r="I63" s="96"/>
      <c r="W63" s="12"/>
    </row>
    <row r="64" spans="1:23" x14ac:dyDescent="0.2">
      <c r="A64" s="14"/>
      <c r="E64" s="16"/>
      <c r="I64" s="96"/>
      <c r="W64" s="12"/>
    </row>
    <row r="65" spans="1:23" x14ac:dyDescent="0.2">
      <c r="A65" s="14"/>
      <c r="E65" s="16"/>
      <c r="I65" s="96"/>
      <c r="W65" s="12"/>
    </row>
    <row r="66" spans="1:23" x14ac:dyDescent="0.2">
      <c r="B66" s="95"/>
      <c r="C66" s="95"/>
      <c r="D66" s="95"/>
      <c r="E66" s="95"/>
      <c r="F66" s="95"/>
      <c r="G66" s="95"/>
      <c r="H66" s="95"/>
      <c r="I66" s="95"/>
      <c r="W66" s="95"/>
    </row>
    <row r="67" spans="1:23" x14ac:dyDescent="0.2">
      <c r="B67" s="95"/>
      <c r="C67" s="95"/>
      <c r="D67" s="95"/>
      <c r="E67" s="95"/>
      <c r="F67" s="95"/>
      <c r="G67" s="95"/>
      <c r="H67" s="95"/>
      <c r="I67" s="95"/>
      <c r="W67" s="95"/>
    </row>
    <row r="68" spans="1:23" x14ac:dyDescent="0.2">
      <c r="A68" s="14"/>
      <c r="E68" s="16"/>
      <c r="I68" s="96"/>
      <c r="W68" s="12"/>
    </row>
    <row r="69" spans="1:23" x14ac:dyDescent="0.2">
      <c r="A69" s="14"/>
      <c r="E69" s="16"/>
      <c r="I69" s="96"/>
      <c r="W69" s="12"/>
    </row>
    <row r="70" spans="1:23" x14ac:dyDescent="0.2">
      <c r="A70" s="14"/>
      <c r="E70" s="16"/>
      <c r="I70" s="96"/>
      <c r="W70" s="12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748193-3227-47B4-9D73-6A4D613D3CE8}">
  <sheetPr>
    <tabColor theme="9" tint="0.79998168889431442"/>
  </sheetPr>
  <dimension ref="A1:P97"/>
  <sheetViews>
    <sheetView workbookViewId="0">
      <pane ySplit="11" topLeftCell="A12" activePane="bottomLeft" state="frozen"/>
      <selection pane="bottomLeft"/>
    </sheetView>
  </sheetViews>
  <sheetFormatPr defaultColWidth="9.140625" defaultRowHeight="12" x14ac:dyDescent="0.2"/>
  <cols>
    <col min="1" max="1" width="9.140625" style="95"/>
    <col min="2" max="2" width="6.42578125" style="1" customWidth="1"/>
    <col min="3" max="4" width="9.140625" style="1"/>
    <col min="5" max="5" width="10.140625" style="6" customWidth="1"/>
    <col min="6" max="6" width="9.140625" style="1"/>
    <col min="7" max="7" width="9" style="10" customWidth="1"/>
    <col min="8" max="16" width="12.85546875" style="95" customWidth="1"/>
    <col min="17" max="18" width="9.140625" style="95"/>
    <col min="19" max="21" width="9.42578125" style="95" bestFit="1" customWidth="1"/>
    <col min="22" max="16384" width="9.140625" style="95"/>
  </cols>
  <sheetData>
    <row r="1" spans="1:16" s="176" customFormat="1" ht="15" x14ac:dyDescent="0.25">
      <c r="A1" s="176" t="s">
        <v>186</v>
      </c>
      <c r="B1" s="177"/>
      <c r="C1" s="177"/>
      <c r="D1" s="177"/>
      <c r="E1" s="198"/>
      <c r="G1" s="178"/>
    </row>
    <row r="2" spans="1:16" s="176" customFormat="1" ht="15" x14ac:dyDescent="0.25">
      <c r="A2" s="176" t="s">
        <v>193</v>
      </c>
      <c r="B2" s="177"/>
      <c r="D2" s="190"/>
      <c r="G2" s="178"/>
    </row>
    <row r="3" spans="1:16" s="176" customFormat="1" ht="15" x14ac:dyDescent="0.25">
      <c r="B3" s="177"/>
      <c r="C3" s="177"/>
      <c r="D3" s="177"/>
      <c r="E3" s="197"/>
      <c r="F3" s="177"/>
      <c r="G3" s="178"/>
    </row>
    <row r="4" spans="1:16" x14ac:dyDescent="0.2">
      <c r="A4" s="95" t="s">
        <v>0</v>
      </c>
      <c r="C4" s="1" t="s">
        <v>22</v>
      </c>
      <c r="D4" s="1" t="s">
        <v>21</v>
      </c>
      <c r="E4" s="1"/>
      <c r="G4" s="1"/>
      <c r="H4" s="6"/>
      <c r="I4" s="1" t="s">
        <v>26</v>
      </c>
      <c r="K4" s="6"/>
      <c r="L4" s="6"/>
      <c r="M4" s="6"/>
      <c r="N4" s="6"/>
      <c r="O4" s="6"/>
      <c r="P4" s="6"/>
    </row>
    <row r="5" spans="1:16" x14ac:dyDescent="0.2">
      <c r="A5" s="95" t="s">
        <v>1</v>
      </c>
      <c r="C5" s="7">
        <f>G13</f>
        <v>0.29166666665696539</v>
      </c>
      <c r="D5" s="7">
        <f>G17</f>
        <v>0.55555555555555558</v>
      </c>
      <c r="E5" s="7"/>
      <c r="F5" s="7"/>
      <c r="G5" s="7"/>
      <c r="H5" s="7"/>
      <c r="I5" s="1"/>
      <c r="K5" s="7"/>
      <c r="L5" s="7"/>
      <c r="M5" s="7"/>
      <c r="N5" s="7"/>
      <c r="O5" s="7"/>
      <c r="P5" s="7"/>
    </row>
    <row r="6" spans="1:16" x14ac:dyDescent="0.2">
      <c r="A6" s="95" t="s">
        <v>2</v>
      </c>
      <c r="C6" s="7">
        <f>O15</f>
        <v>0.38194444443474318</v>
      </c>
      <c r="D6" s="7">
        <f>O21</f>
        <v>0.7097222222222217</v>
      </c>
      <c r="E6" s="7"/>
      <c r="F6" s="7"/>
      <c r="G6" s="7"/>
      <c r="H6" s="7"/>
      <c r="I6" s="8">
        <f>SUM(C7:G7)</f>
        <v>0.24444444444444391</v>
      </c>
      <c r="J6" s="95" t="s">
        <v>4</v>
      </c>
      <c r="K6" s="7"/>
      <c r="L6" s="7"/>
      <c r="M6" s="7"/>
      <c r="N6" s="7"/>
      <c r="O6" s="7"/>
      <c r="P6" s="7"/>
    </row>
    <row r="7" spans="1:16" x14ac:dyDescent="0.2">
      <c r="A7" s="95" t="s">
        <v>3</v>
      </c>
      <c r="C7" s="7">
        <f>C6-C5</f>
        <v>9.027777777777779E-2</v>
      </c>
      <c r="D7" s="7">
        <f>D6-D5</f>
        <v>0.15416666666666612</v>
      </c>
      <c r="E7" s="7"/>
      <c r="F7" s="7"/>
      <c r="G7" s="7"/>
      <c r="H7" s="7"/>
      <c r="I7" s="6">
        <f>SUM(C8:G8)</f>
        <v>272.59999999999997</v>
      </c>
      <c r="J7" s="95" t="s">
        <v>6</v>
      </c>
      <c r="K7" s="7"/>
      <c r="L7" s="7"/>
      <c r="M7" s="7"/>
      <c r="N7" s="7"/>
      <c r="O7" s="7"/>
      <c r="P7" s="7"/>
    </row>
    <row r="8" spans="1:16" x14ac:dyDescent="0.2">
      <c r="A8" s="95" t="s">
        <v>5</v>
      </c>
      <c r="C8" s="6">
        <f>SUM(E13:E15)</f>
        <v>103.3</v>
      </c>
      <c r="D8" s="6">
        <f>SUM(E17:E21)</f>
        <v>169.29999999999998</v>
      </c>
      <c r="F8" s="6"/>
      <c r="G8" s="6"/>
      <c r="H8" s="6"/>
      <c r="I8" s="1">
        <v>1</v>
      </c>
      <c r="J8" s="95" t="s">
        <v>8</v>
      </c>
      <c r="K8" s="6"/>
      <c r="L8" s="6"/>
      <c r="M8" s="6"/>
      <c r="N8" s="6"/>
      <c r="O8" s="6"/>
      <c r="P8" s="6"/>
    </row>
    <row r="9" spans="1:16" x14ac:dyDescent="0.2">
      <c r="A9" s="95" t="s">
        <v>7</v>
      </c>
      <c r="E9" s="1"/>
      <c r="F9" s="9"/>
      <c r="G9" s="9"/>
      <c r="H9" s="9"/>
      <c r="K9" s="9"/>
      <c r="L9" s="9"/>
      <c r="M9" s="9"/>
      <c r="N9" s="9"/>
      <c r="O9" s="9"/>
      <c r="P9" s="9"/>
    </row>
    <row r="11" spans="1:16" s="58" customFormat="1" x14ac:dyDescent="0.2">
      <c r="A11" s="58" t="s">
        <v>9</v>
      </c>
      <c r="B11" s="59" t="s">
        <v>10</v>
      </c>
      <c r="C11" s="59" t="s">
        <v>11</v>
      </c>
      <c r="D11" s="59"/>
      <c r="E11" s="174" t="s">
        <v>12</v>
      </c>
      <c r="F11" s="59" t="s">
        <v>13</v>
      </c>
      <c r="G11" s="88" t="s">
        <v>14</v>
      </c>
      <c r="H11" s="58" t="s">
        <v>15</v>
      </c>
      <c r="I11" s="88" t="s">
        <v>14</v>
      </c>
      <c r="J11" s="58" t="s">
        <v>23</v>
      </c>
      <c r="K11" s="88" t="s">
        <v>14</v>
      </c>
      <c r="L11" s="58" t="s">
        <v>23</v>
      </c>
      <c r="M11" s="88" t="s">
        <v>14</v>
      </c>
      <c r="N11" s="58" t="s">
        <v>23</v>
      </c>
      <c r="O11" s="88" t="s">
        <v>14</v>
      </c>
      <c r="P11" s="58" t="s">
        <v>16</v>
      </c>
    </row>
    <row r="12" spans="1:16" s="58" customFormat="1" x14ac:dyDescent="0.2">
      <c r="B12" s="59"/>
      <c r="C12" s="59"/>
      <c r="D12" s="59"/>
      <c r="E12" s="174"/>
      <c r="F12" s="59"/>
      <c r="G12" s="88"/>
      <c r="I12" s="88"/>
      <c r="K12" s="88"/>
      <c r="M12" s="88"/>
      <c r="O12" s="88"/>
    </row>
    <row r="13" spans="1:16" s="58" customFormat="1" x14ac:dyDescent="0.2">
      <c r="A13" s="92">
        <v>700</v>
      </c>
      <c r="B13" s="93">
        <v>0</v>
      </c>
      <c r="C13" s="93">
        <v>1</v>
      </c>
      <c r="D13" s="93" t="str">
        <f t="shared" ref="D13:D15" si="0">CONCATENATE(A13," ",B13)</f>
        <v>700 0</v>
      </c>
      <c r="E13" s="91">
        <v>32.9</v>
      </c>
      <c r="F13" s="93"/>
      <c r="G13" s="189">
        <v>0.29166666665696539</v>
      </c>
      <c r="H13" s="92" t="s">
        <v>46</v>
      </c>
      <c r="I13" s="102">
        <f>G13+TIME(0,16,0)</f>
        <v>0.30277777776807652</v>
      </c>
      <c r="J13" s="92" t="s">
        <v>68</v>
      </c>
      <c r="K13" s="94"/>
      <c r="L13" s="92"/>
      <c r="M13" s="102">
        <f>I13+TIME(0,19,0)</f>
        <v>0.31597222221252097</v>
      </c>
      <c r="N13" s="92" t="s">
        <v>30</v>
      </c>
      <c r="O13" s="102">
        <f>M13+TIME(0,5,0)</f>
        <v>0.31944444443474318</v>
      </c>
      <c r="P13" s="92" t="s">
        <v>31</v>
      </c>
    </row>
    <row r="14" spans="1:16" x14ac:dyDescent="0.2">
      <c r="A14" s="92">
        <v>700</v>
      </c>
      <c r="B14" s="93">
        <v>1</v>
      </c>
      <c r="C14" s="93">
        <v>1</v>
      </c>
      <c r="D14" s="93" t="str">
        <f t="shared" si="0"/>
        <v>700 1</v>
      </c>
      <c r="E14" s="91">
        <v>33.1</v>
      </c>
      <c r="F14" s="93"/>
      <c r="G14" s="189">
        <f>O13+TIME(0,5,0)</f>
        <v>0.32291666665696539</v>
      </c>
      <c r="H14" s="92" t="s">
        <v>31</v>
      </c>
      <c r="I14" s="103">
        <f>G14+TIME(0,4,0)</f>
        <v>0.32569444443474316</v>
      </c>
      <c r="J14" s="92" t="s">
        <v>30</v>
      </c>
      <c r="K14" s="103">
        <f>I14+TIME(0,18,0)</f>
        <v>0.33819444443474317</v>
      </c>
      <c r="L14" s="92" t="s">
        <v>54</v>
      </c>
      <c r="M14" s="92"/>
      <c r="N14" s="92"/>
      <c r="O14" s="103">
        <f>K14+TIME(0,18,0)</f>
        <v>0.35069444443474318</v>
      </c>
      <c r="P14" s="107" t="s">
        <v>58</v>
      </c>
    </row>
    <row r="15" spans="1:16" x14ac:dyDescent="0.2">
      <c r="A15" s="14">
        <v>602</v>
      </c>
      <c r="B15" s="1">
        <v>0</v>
      </c>
      <c r="C15" s="15">
        <v>1</v>
      </c>
      <c r="D15" s="15" t="str">
        <f t="shared" si="0"/>
        <v>602 0</v>
      </c>
      <c r="E15" s="16">
        <f>VLOOKUP(D15,Kilometrit!$C$4:$D$48,2,FALSE)</f>
        <v>37.299999999999997</v>
      </c>
      <c r="F15" s="15"/>
      <c r="G15" s="181">
        <f>O14</f>
        <v>0.35069444443474318</v>
      </c>
      <c r="H15" s="95" t="s">
        <v>46</v>
      </c>
      <c r="I15" s="12">
        <f>G15+TIME(0,8,0)</f>
        <v>0.35624999999029872</v>
      </c>
      <c r="J15" s="95" t="s">
        <v>55</v>
      </c>
      <c r="K15" s="96" t="s">
        <v>99</v>
      </c>
      <c r="L15" s="95" t="s">
        <v>79</v>
      </c>
      <c r="M15" s="96">
        <f>I15+TIME(0,19,0)</f>
        <v>0.36944444443474317</v>
      </c>
      <c r="N15" s="95" t="s">
        <v>102</v>
      </c>
      <c r="O15" s="12">
        <f>M15+TIME(0,18,0)</f>
        <v>0.38194444443474318</v>
      </c>
      <c r="P15" s="19" t="s">
        <v>31</v>
      </c>
    </row>
    <row r="16" spans="1:16" x14ac:dyDescent="0.2">
      <c r="A16" s="92"/>
      <c r="B16" s="93"/>
      <c r="C16" s="93"/>
      <c r="D16" s="93"/>
      <c r="E16" s="91"/>
      <c r="F16" s="93"/>
      <c r="G16" s="189"/>
      <c r="H16" s="92"/>
      <c r="I16" s="102"/>
      <c r="J16" s="92"/>
      <c r="K16" s="94"/>
      <c r="L16" s="92"/>
      <c r="M16" s="102"/>
      <c r="N16" s="92"/>
      <c r="O16" s="102"/>
      <c r="P16" s="92"/>
    </row>
    <row r="17" spans="1:16" s="14" customFormat="1" x14ac:dyDescent="0.2">
      <c r="A17" s="14">
        <v>602</v>
      </c>
      <c r="B17" s="15">
        <v>1</v>
      </c>
      <c r="C17" s="15">
        <v>1</v>
      </c>
      <c r="D17" s="1" t="str">
        <f t="shared" ref="D17" si="1">CONCATENATE(A17," ",B17)</f>
        <v>602 1</v>
      </c>
      <c r="E17" s="16">
        <f>VLOOKUP(D17,Kilometrit!$C$4:$D$45,2,FALSE)</f>
        <v>37.299999999999997</v>
      </c>
      <c r="F17" s="15"/>
      <c r="G17" s="181">
        <v>0.55555555555555558</v>
      </c>
      <c r="H17" s="14" t="s">
        <v>31</v>
      </c>
      <c r="I17" s="12">
        <f>G17+TIME(0,17,0)</f>
        <v>0.56736111111111109</v>
      </c>
      <c r="J17" s="95" t="s">
        <v>102</v>
      </c>
      <c r="K17" s="96" t="s">
        <v>99</v>
      </c>
      <c r="L17" s="95" t="s">
        <v>79</v>
      </c>
      <c r="M17" s="24">
        <f>I17+TIME(0,18,0)</f>
        <v>0.57986111111111105</v>
      </c>
      <c r="N17" s="14" t="s">
        <v>55</v>
      </c>
      <c r="O17" s="24">
        <f>M17+TIME(0,10,0)</f>
        <v>0.58680555555555547</v>
      </c>
      <c r="P17" s="14" t="s">
        <v>58</v>
      </c>
    </row>
    <row r="18" spans="1:16" s="14" customFormat="1" x14ac:dyDescent="0.2">
      <c r="A18" s="92">
        <v>700</v>
      </c>
      <c r="B18" s="93">
        <v>0</v>
      </c>
      <c r="C18" s="93">
        <v>1</v>
      </c>
      <c r="D18" s="93" t="str">
        <f>CONCATENATE(A18," ",B18)</f>
        <v>700 0</v>
      </c>
      <c r="E18" s="91">
        <v>32.9</v>
      </c>
      <c r="F18" s="93"/>
      <c r="G18" s="189">
        <f>O17+TIME(0,5,0)</f>
        <v>0.59027777777777768</v>
      </c>
      <c r="H18" s="92" t="s">
        <v>46</v>
      </c>
      <c r="I18" s="102">
        <f>G18+TIME(0,16,0)</f>
        <v>0.60138888888888875</v>
      </c>
      <c r="J18" s="92" t="s">
        <v>68</v>
      </c>
      <c r="K18" s="94"/>
      <c r="L18" s="92"/>
      <c r="M18" s="102">
        <f>I18+TIME(0,19,0)</f>
        <v>0.61458333333333315</v>
      </c>
      <c r="N18" s="92" t="s">
        <v>30</v>
      </c>
      <c r="O18" s="102">
        <f>M18+TIME(0,5,0)</f>
        <v>0.61805555555555536</v>
      </c>
      <c r="P18" s="92" t="s">
        <v>31</v>
      </c>
    </row>
    <row r="19" spans="1:16" x14ac:dyDescent="0.2">
      <c r="A19" s="92">
        <v>700</v>
      </c>
      <c r="B19" s="93">
        <v>1</v>
      </c>
      <c r="C19" s="93">
        <v>1</v>
      </c>
      <c r="D19" s="93" t="str">
        <f t="shared" ref="D19:D21" si="2">CONCATENATE(A19," ",B19)</f>
        <v>700 1</v>
      </c>
      <c r="E19" s="91">
        <v>33.1</v>
      </c>
      <c r="F19" s="93"/>
      <c r="G19" s="189">
        <f>O18+TIME(0,5,0)</f>
        <v>0.62152777777777757</v>
      </c>
      <c r="H19" s="92" t="s">
        <v>31</v>
      </c>
      <c r="I19" s="103">
        <f>G19+TIME(0,4,0)</f>
        <v>0.62430555555555534</v>
      </c>
      <c r="J19" s="92" t="s">
        <v>30</v>
      </c>
      <c r="K19" s="103">
        <f>I19+TIME(0,18,0)</f>
        <v>0.63680555555555529</v>
      </c>
      <c r="L19" s="92" t="s">
        <v>54</v>
      </c>
      <c r="M19" s="92"/>
      <c r="N19" s="92"/>
      <c r="O19" s="103">
        <f>K19+TIME(0,18,0)</f>
        <v>0.64930555555555525</v>
      </c>
      <c r="P19" s="107" t="s">
        <v>58</v>
      </c>
    </row>
    <row r="20" spans="1:16" x14ac:dyDescent="0.2">
      <c r="A20" s="92">
        <v>700</v>
      </c>
      <c r="B20" s="93">
        <v>0</v>
      </c>
      <c r="C20" s="93">
        <v>1</v>
      </c>
      <c r="D20" s="93" t="str">
        <f t="shared" si="2"/>
        <v>700 0</v>
      </c>
      <c r="E20" s="91">
        <v>32.9</v>
      </c>
      <c r="F20" s="93"/>
      <c r="G20" s="189">
        <f>O19</f>
        <v>0.64930555555555525</v>
      </c>
      <c r="H20" s="92" t="s">
        <v>46</v>
      </c>
      <c r="I20" s="102">
        <f>G20+TIME(0,16,0)</f>
        <v>0.66041666666666632</v>
      </c>
      <c r="J20" s="92" t="s">
        <v>68</v>
      </c>
      <c r="K20" s="94"/>
      <c r="L20" s="92"/>
      <c r="M20" s="102">
        <f>I20+TIME(0,19,0)</f>
        <v>0.67361111111111072</v>
      </c>
      <c r="N20" s="92" t="s">
        <v>30</v>
      </c>
      <c r="O20" s="102">
        <f>M20+TIME(0,5,0)</f>
        <v>0.67708333333333293</v>
      </c>
      <c r="P20" s="92" t="s">
        <v>31</v>
      </c>
    </row>
    <row r="21" spans="1:16" x14ac:dyDescent="0.2">
      <c r="A21" s="95">
        <v>700</v>
      </c>
      <c r="B21" s="1">
        <v>1</v>
      </c>
      <c r="C21" s="1">
        <v>1</v>
      </c>
      <c r="D21" s="1" t="str">
        <f t="shared" si="2"/>
        <v>700 1</v>
      </c>
      <c r="E21" s="6">
        <f>VLOOKUP(D21,Kilometrit!$C$4:$D$52,2,FALSE)</f>
        <v>33.1</v>
      </c>
      <c r="G21" s="181">
        <f>O20+TIME(0,5,0)</f>
        <v>0.68055555555555514</v>
      </c>
      <c r="H21" s="95" t="s">
        <v>31</v>
      </c>
      <c r="I21" s="12">
        <f>G21+TIME(0,4,0)</f>
        <v>0.6833333333333329</v>
      </c>
      <c r="J21" s="95" t="s">
        <v>30</v>
      </c>
      <c r="K21" s="12">
        <f>I21+TIME(0,18,0)</f>
        <v>0.69583333333333286</v>
      </c>
      <c r="L21" s="95" t="s">
        <v>54</v>
      </c>
      <c r="O21" s="12">
        <f>K21+TIME(0,20,0)</f>
        <v>0.7097222222222217</v>
      </c>
      <c r="P21" s="19" t="s">
        <v>58</v>
      </c>
    </row>
    <row r="22" spans="1:16" x14ac:dyDescent="0.2">
      <c r="M22" s="1"/>
    </row>
    <row r="23" spans="1:16" x14ac:dyDescent="0.2">
      <c r="A23" s="14"/>
      <c r="B23" s="15"/>
      <c r="C23" s="15"/>
      <c r="D23" s="15"/>
      <c r="E23" s="16"/>
      <c r="F23" s="15"/>
      <c r="G23" s="17"/>
      <c r="H23" s="14"/>
      <c r="I23" s="14"/>
      <c r="J23" s="14"/>
      <c r="K23" s="14"/>
      <c r="L23" s="14"/>
      <c r="M23" s="17"/>
      <c r="N23" s="14"/>
      <c r="O23" s="17"/>
      <c r="P23" s="14"/>
    </row>
    <row r="24" spans="1:16" x14ac:dyDescent="0.2">
      <c r="A24" s="14"/>
      <c r="G24" s="96"/>
      <c r="M24" s="12"/>
      <c r="O24" s="13"/>
    </row>
    <row r="25" spans="1:16" x14ac:dyDescent="0.2">
      <c r="G25" s="96"/>
    </row>
    <row r="26" spans="1:16" s="14" customFormat="1" x14ac:dyDescent="0.2">
      <c r="B26" s="15"/>
      <c r="C26" s="15"/>
      <c r="D26" s="15"/>
      <c r="E26" s="16"/>
      <c r="F26" s="15"/>
      <c r="G26" s="17"/>
    </row>
    <row r="27" spans="1:16" s="14" customFormat="1" x14ac:dyDescent="0.2">
      <c r="B27" s="15"/>
      <c r="C27" s="15"/>
      <c r="D27" s="15"/>
      <c r="E27" s="16"/>
      <c r="F27" s="15"/>
      <c r="G27" s="146"/>
      <c r="H27" s="92"/>
      <c r="I27" s="102"/>
      <c r="J27" s="92"/>
      <c r="K27" s="94"/>
      <c r="L27" s="92"/>
      <c r="M27" s="94"/>
      <c r="N27" s="92"/>
      <c r="O27" s="94"/>
      <c r="P27" s="92"/>
    </row>
    <row r="28" spans="1:16" s="14" customFormat="1" x14ac:dyDescent="0.2">
      <c r="B28" s="15"/>
      <c r="C28" s="15"/>
      <c r="D28" s="15"/>
      <c r="E28" s="16"/>
      <c r="F28" s="15"/>
      <c r="G28" s="146"/>
      <c r="H28" s="92"/>
      <c r="I28" s="102"/>
      <c r="J28" s="92"/>
      <c r="K28" s="102"/>
      <c r="L28" s="92"/>
      <c r="M28" s="102"/>
      <c r="N28" s="92"/>
      <c r="O28" s="102"/>
      <c r="P28" s="92"/>
    </row>
    <row r="29" spans="1:16" s="14" customFormat="1" x14ac:dyDescent="0.2">
      <c r="B29" s="15"/>
      <c r="C29" s="15"/>
      <c r="D29" s="15"/>
      <c r="E29" s="16"/>
      <c r="F29" s="15"/>
      <c r="G29" s="146"/>
      <c r="H29" s="92"/>
      <c r="I29" s="102"/>
      <c r="J29" s="92"/>
      <c r="K29" s="102"/>
      <c r="L29" s="92"/>
      <c r="M29" s="102"/>
      <c r="N29" s="92"/>
      <c r="O29" s="102"/>
      <c r="P29" s="92"/>
    </row>
    <row r="30" spans="1:16" s="14" customFormat="1" x14ac:dyDescent="0.2">
      <c r="B30" s="15"/>
      <c r="C30" s="15"/>
      <c r="D30" s="15"/>
      <c r="E30" s="16"/>
      <c r="F30" s="15"/>
      <c r="G30" s="146"/>
      <c r="H30" s="92"/>
      <c r="I30" s="103"/>
      <c r="J30" s="92"/>
      <c r="K30" s="103"/>
      <c r="L30" s="92"/>
      <c r="M30" s="92"/>
      <c r="N30" s="92"/>
      <c r="O30" s="92"/>
      <c r="P30" s="92"/>
    </row>
    <row r="31" spans="1:16" s="14" customFormat="1" x14ac:dyDescent="0.2">
      <c r="B31" s="15"/>
      <c r="C31" s="15"/>
      <c r="D31" s="15"/>
      <c r="E31" s="16"/>
      <c r="F31" s="15"/>
      <c r="G31" s="146"/>
      <c r="H31" s="92"/>
      <c r="I31" s="102"/>
      <c r="J31" s="92"/>
      <c r="K31" s="94"/>
      <c r="L31" s="92"/>
      <c r="M31" s="94"/>
      <c r="N31" s="92"/>
      <c r="O31" s="94"/>
      <c r="P31" s="92"/>
    </row>
    <row r="32" spans="1:16" s="14" customFormat="1" x14ac:dyDescent="0.2">
      <c r="B32" s="15"/>
      <c r="C32" s="15"/>
      <c r="D32" s="15"/>
      <c r="E32" s="16"/>
      <c r="F32" s="15"/>
      <c r="G32" s="146"/>
      <c r="H32" s="92"/>
      <c r="I32" s="103"/>
      <c r="J32" s="92"/>
      <c r="K32" s="103"/>
      <c r="L32" s="92"/>
      <c r="M32" s="92"/>
      <c r="N32" s="92"/>
      <c r="O32" s="92"/>
      <c r="P32" s="92"/>
    </row>
    <row r="33" spans="1:16" s="14" customFormat="1" x14ac:dyDescent="0.2">
      <c r="B33" s="15"/>
      <c r="C33" s="15"/>
      <c r="D33" s="15"/>
      <c r="E33" s="16"/>
      <c r="F33" s="15"/>
      <c r="G33" s="140"/>
    </row>
    <row r="34" spans="1:16" s="14" customFormat="1" x14ac:dyDescent="0.2">
      <c r="B34" s="15"/>
      <c r="C34" s="15"/>
      <c r="D34" s="15"/>
      <c r="E34" s="16"/>
      <c r="F34" s="15"/>
      <c r="G34" s="146"/>
      <c r="H34" s="92"/>
      <c r="I34" s="102"/>
      <c r="J34" s="92"/>
      <c r="K34" s="94"/>
      <c r="L34" s="92"/>
      <c r="M34" s="94"/>
      <c r="N34" s="92"/>
      <c r="O34" s="94"/>
      <c r="P34" s="92"/>
    </row>
    <row r="35" spans="1:16" s="14" customFormat="1" x14ac:dyDescent="0.2">
      <c r="B35" s="15"/>
      <c r="C35" s="15"/>
      <c r="D35" s="15"/>
      <c r="E35" s="16"/>
      <c r="F35" s="15"/>
      <c r="G35" s="140"/>
      <c r="H35" s="92"/>
      <c r="I35" s="102"/>
      <c r="J35" s="92"/>
      <c r="K35" s="102"/>
      <c r="L35" s="92"/>
      <c r="M35" s="102"/>
      <c r="N35" s="92"/>
      <c r="O35" s="102"/>
      <c r="P35" s="92"/>
    </row>
    <row r="36" spans="1:16" s="14" customFormat="1" x14ac:dyDescent="0.2">
      <c r="B36" s="15"/>
      <c r="C36" s="15"/>
      <c r="D36" s="15"/>
      <c r="E36" s="16"/>
      <c r="F36" s="15"/>
      <c r="G36" s="140"/>
      <c r="H36" s="92"/>
      <c r="I36" s="102"/>
      <c r="J36" s="92"/>
      <c r="K36" s="102"/>
      <c r="L36" s="92"/>
      <c r="M36" s="102"/>
      <c r="N36" s="92"/>
      <c r="O36" s="102"/>
      <c r="P36" s="92"/>
    </row>
    <row r="37" spans="1:16" s="14" customFormat="1" x14ac:dyDescent="0.2">
      <c r="B37" s="15"/>
      <c r="C37" s="15"/>
      <c r="D37" s="15"/>
      <c r="E37" s="16"/>
      <c r="F37" s="15"/>
      <c r="G37" s="140"/>
      <c r="I37" s="24"/>
      <c r="K37" s="24"/>
    </row>
    <row r="38" spans="1:16" x14ac:dyDescent="0.2">
      <c r="A38" s="14"/>
      <c r="G38" s="96"/>
    </row>
    <row r="39" spans="1:16" x14ac:dyDescent="0.2">
      <c r="G39" s="96"/>
    </row>
    <row r="40" spans="1:16" x14ac:dyDescent="0.2">
      <c r="A40" s="14"/>
      <c r="G40" s="96"/>
    </row>
    <row r="41" spans="1:16" x14ac:dyDescent="0.2">
      <c r="G41" s="96"/>
    </row>
    <row r="42" spans="1:16" x14ac:dyDescent="0.2">
      <c r="A42" s="14"/>
      <c r="G42" s="96"/>
    </row>
    <row r="43" spans="1:16" x14ac:dyDescent="0.2">
      <c r="G43" s="96"/>
    </row>
    <row r="44" spans="1:16" x14ac:dyDescent="0.2">
      <c r="A44" s="14"/>
      <c r="G44" s="96"/>
    </row>
    <row r="45" spans="1:16" x14ac:dyDescent="0.2">
      <c r="G45" s="96"/>
    </row>
    <row r="46" spans="1:16" x14ac:dyDescent="0.2">
      <c r="A46" s="14"/>
      <c r="G46" s="96"/>
    </row>
    <row r="47" spans="1:16" x14ac:dyDescent="0.2">
      <c r="G47" s="96"/>
    </row>
    <row r="48" spans="1:16" x14ac:dyDescent="0.2">
      <c r="A48" s="14"/>
      <c r="G48" s="96"/>
    </row>
    <row r="49" spans="1:7" x14ac:dyDescent="0.2">
      <c r="G49" s="96"/>
    </row>
    <row r="50" spans="1:7" x14ac:dyDescent="0.2">
      <c r="A50" s="14"/>
      <c r="G50" s="17"/>
    </row>
    <row r="51" spans="1:7" x14ac:dyDescent="0.2">
      <c r="G51" s="96"/>
    </row>
    <row r="52" spans="1:7" x14ac:dyDescent="0.2">
      <c r="A52" s="14"/>
      <c r="G52" s="96"/>
    </row>
    <row r="53" spans="1:7" x14ac:dyDescent="0.2">
      <c r="G53" s="96"/>
    </row>
    <row r="54" spans="1:7" x14ac:dyDescent="0.2">
      <c r="A54" s="14"/>
      <c r="G54" s="96"/>
    </row>
    <row r="55" spans="1:7" x14ac:dyDescent="0.2">
      <c r="G55" s="96"/>
    </row>
    <row r="56" spans="1:7" x14ac:dyDescent="0.2">
      <c r="A56" s="14"/>
      <c r="G56" s="96"/>
    </row>
    <row r="57" spans="1:7" x14ac:dyDescent="0.2">
      <c r="G57" s="96"/>
    </row>
    <row r="58" spans="1:7" x14ac:dyDescent="0.2">
      <c r="A58" s="14"/>
      <c r="G58" s="96"/>
    </row>
    <row r="59" spans="1:7" x14ac:dyDescent="0.2">
      <c r="G59" s="96"/>
    </row>
    <row r="60" spans="1:7" x14ac:dyDescent="0.2">
      <c r="A60" s="14"/>
      <c r="G60" s="96"/>
    </row>
    <row r="61" spans="1:7" x14ac:dyDescent="0.2">
      <c r="G61" s="96"/>
    </row>
    <row r="62" spans="1:7" x14ac:dyDescent="0.2">
      <c r="A62" s="14"/>
      <c r="G62" s="96"/>
    </row>
    <row r="63" spans="1:7" x14ac:dyDescent="0.2">
      <c r="G63" s="96"/>
    </row>
    <row r="64" spans="1:7" x14ac:dyDescent="0.2">
      <c r="G64" s="96"/>
    </row>
    <row r="65" spans="1:16" x14ac:dyDescent="0.2">
      <c r="A65" s="14"/>
      <c r="G65" s="96"/>
    </row>
    <row r="66" spans="1:16" x14ac:dyDescent="0.2">
      <c r="A66" s="14"/>
      <c r="B66" s="15"/>
      <c r="C66" s="15"/>
      <c r="D66" s="15"/>
      <c r="E66" s="16"/>
      <c r="F66" s="15"/>
      <c r="G66" s="17"/>
      <c r="H66" s="14"/>
      <c r="I66" s="14"/>
      <c r="J66" s="14"/>
      <c r="K66" s="14"/>
      <c r="L66" s="14"/>
      <c r="M66" s="14"/>
      <c r="N66" s="14"/>
      <c r="O66" s="14"/>
      <c r="P66" s="14"/>
    </row>
    <row r="67" spans="1:16" x14ac:dyDescent="0.2">
      <c r="A67" s="14"/>
      <c r="G67" s="96"/>
    </row>
    <row r="68" spans="1:16" x14ac:dyDescent="0.2">
      <c r="A68" s="10"/>
      <c r="G68" s="96"/>
    </row>
    <row r="69" spans="1:16" s="14" customFormat="1" x14ac:dyDescent="0.2">
      <c r="B69" s="15"/>
      <c r="C69" s="15"/>
      <c r="D69" s="15"/>
      <c r="E69" s="6"/>
      <c r="F69" s="15"/>
      <c r="G69" s="17"/>
    </row>
    <row r="70" spans="1:16" x14ac:dyDescent="0.2">
      <c r="G70" s="96"/>
    </row>
    <row r="71" spans="1:16" x14ac:dyDescent="0.2">
      <c r="A71" s="14"/>
      <c r="B71" s="15"/>
      <c r="C71" s="15"/>
      <c r="D71" s="15"/>
      <c r="F71" s="15"/>
      <c r="G71" s="17"/>
      <c r="H71" s="14"/>
      <c r="I71" s="14"/>
      <c r="J71" s="14"/>
      <c r="K71" s="14"/>
      <c r="L71" s="14"/>
      <c r="M71" s="14"/>
      <c r="N71" s="14"/>
      <c r="O71" s="14"/>
      <c r="P71" s="14"/>
    </row>
    <row r="72" spans="1:16" x14ac:dyDescent="0.2">
      <c r="G72" s="96"/>
    </row>
    <row r="73" spans="1:16" x14ac:dyDescent="0.2">
      <c r="A73" s="14"/>
      <c r="B73" s="15"/>
      <c r="C73" s="15"/>
      <c r="D73" s="15"/>
      <c r="F73" s="15"/>
      <c r="G73" s="17"/>
      <c r="H73" s="14"/>
      <c r="I73" s="14"/>
      <c r="J73" s="14"/>
      <c r="K73" s="14"/>
      <c r="L73" s="14"/>
      <c r="M73" s="14"/>
      <c r="N73" s="14"/>
      <c r="O73" s="14"/>
      <c r="P73" s="14"/>
    </row>
    <row r="74" spans="1:16" x14ac:dyDescent="0.2">
      <c r="G74" s="96"/>
    </row>
    <row r="75" spans="1:16" x14ac:dyDescent="0.2">
      <c r="A75" s="14"/>
      <c r="B75" s="15"/>
      <c r="C75" s="15"/>
      <c r="D75" s="15"/>
      <c r="F75" s="15"/>
      <c r="G75" s="17"/>
      <c r="H75" s="14"/>
      <c r="I75" s="14"/>
      <c r="J75" s="14"/>
      <c r="K75" s="14"/>
      <c r="L75" s="14"/>
      <c r="M75" s="14"/>
      <c r="N75" s="14"/>
      <c r="O75" s="14"/>
      <c r="P75" s="14"/>
    </row>
    <row r="76" spans="1:16" x14ac:dyDescent="0.2">
      <c r="G76" s="96"/>
    </row>
    <row r="77" spans="1:16" x14ac:dyDescent="0.2">
      <c r="A77" s="14"/>
      <c r="B77" s="15"/>
      <c r="C77" s="15"/>
      <c r="D77" s="15"/>
      <c r="F77" s="15"/>
      <c r="G77" s="17"/>
      <c r="H77" s="14"/>
      <c r="I77" s="14"/>
      <c r="J77" s="14"/>
      <c r="K77" s="14"/>
      <c r="L77" s="14"/>
      <c r="M77" s="14"/>
      <c r="N77" s="14"/>
      <c r="O77" s="14"/>
      <c r="P77" s="14"/>
    </row>
    <row r="78" spans="1:16" x14ac:dyDescent="0.2">
      <c r="G78" s="96"/>
    </row>
    <row r="79" spans="1:16" x14ac:dyDescent="0.2">
      <c r="A79" s="14"/>
      <c r="B79" s="15"/>
      <c r="C79" s="15"/>
      <c r="D79" s="15"/>
      <c r="F79" s="15"/>
      <c r="G79" s="17"/>
      <c r="H79" s="14"/>
      <c r="I79" s="14"/>
      <c r="J79" s="14"/>
      <c r="K79" s="14"/>
      <c r="L79" s="14"/>
      <c r="M79" s="14"/>
      <c r="N79" s="14"/>
      <c r="O79" s="14"/>
      <c r="P79" s="14"/>
    </row>
    <row r="80" spans="1:16" x14ac:dyDescent="0.2">
      <c r="G80" s="96"/>
    </row>
    <row r="81" spans="1:16" x14ac:dyDescent="0.2">
      <c r="A81" s="14"/>
      <c r="B81" s="15"/>
      <c r="C81" s="15"/>
      <c r="D81" s="15"/>
      <c r="F81" s="15"/>
      <c r="G81" s="17"/>
      <c r="H81" s="14"/>
      <c r="I81" s="14"/>
      <c r="J81" s="14"/>
      <c r="K81" s="14"/>
      <c r="L81" s="14"/>
      <c r="M81" s="14"/>
      <c r="N81" s="14"/>
      <c r="O81" s="14"/>
      <c r="P81" s="14"/>
    </row>
    <row r="82" spans="1:16" x14ac:dyDescent="0.2">
      <c r="G82" s="96"/>
    </row>
    <row r="83" spans="1:16" x14ac:dyDescent="0.2">
      <c r="A83" s="14"/>
      <c r="B83" s="15"/>
      <c r="C83" s="15"/>
      <c r="D83" s="15"/>
      <c r="F83" s="15"/>
      <c r="G83" s="17"/>
      <c r="H83" s="14"/>
      <c r="I83" s="14"/>
      <c r="J83" s="14"/>
      <c r="K83" s="14"/>
      <c r="L83" s="14"/>
      <c r="M83" s="14"/>
      <c r="N83" s="14"/>
      <c r="O83" s="14"/>
      <c r="P83" s="14"/>
    </row>
    <row r="84" spans="1:16" x14ac:dyDescent="0.2">
      <c r="G84" s="96"/>
    </row>
    <row r="85" spans="1:16" x14ac:dyDescent="0.2">
      <c r="A85" s="14"/>
      <c r="B85" s="15"/>
      <c r="C85" s="15"/>
      <c r="D85" s="15"/>
      <c r="F85" s="15"/>
      <c r="G85" s="17"/>
      <c r="H85" s="14"/>
      <c r="I85" s="14"/>
      <c r="J85" s="14"/>
      <c r="K85" s="14"/>
      <c r="L85" s="14"/>
      <c r="M85" s="14"/>
      <c r="N85" s="14"/>
      <c r="O85" s="14"/>
      <c r="P85" s="14"/>
    </row>
    <row r="86" spans="1:16" x14ac:dyDescent="0.2">
      <c r="G86" s="96"/>
    </row>
    <row r="87" spans="1:16" x14ac:dyDescent="0.2">
      <c r="A87" s="14"/>
      <c r="B87" s="15"/>
      <c r="C87" s="15"/>
      <c r="D87" s="15"/>
      <c r="F87" s="15"/>
      <c r="G87" s="17"/>
      <c r="H87" s="14"/>
      <c r="I87" s="14"/>
      <c r="J87" s="14"/>
      <c r="K87" s="14"/>
      <c r="L87" s="14"/>
      <c r="M87" s="14"/>
      <c r="N87" s="14"/>
      <c r="O87" s="14"/>
      <c r="P87" s="14"/>
    </row>
    <row r="88" spans="1:16" x14ac:dyDescent="0.2">
      <c r="G88" s="96"/>
    </row>
    <row r="89" spans="1:16" x14ac:dyDescent="0.2">
      <c r="A89" s="14"/>
      <c r="B89" s="15"/>
      <c r="C89" s="15"/>
      <c r="D89" s="15"/>
      <c r="F89" s="15"/>
      <c r="G89" s="17"/>
      <c r="H89" s="14"/>
      <c r="I89" s="14"/>
      <c r="J89" s="14"/>
      <c r="K89" s="14"/>
      <c r="L89" s="14"/>
      <c r="M89" s="14"/>
      <c r="N89" s="14"/>
      <c r="O89" s="14"/>
      <c r="P89" s="14"/>
    </row>
    <row r="90" spans="1:16" x14ac:dyDescent="0.2">
      <c r="G90" s="96"/>
    </row>
    <row r="91" spans="1:16" x14ac:dyDescent="0.2">
      <c r="A91" s="14"/>
      <c r="B91" s="15"/>
      <c r="C91" s="15"/>
      <c r="D91" s="15"/>
      <c r="F91" s="15"/>
      <c r="G91" s="17"/>
      <c r="H91" s="14"/>
      <c r="I91" s="14"/>
      <c r="J91" s="14"/>
      <c r="K91" s="14"/>
      <c r="L91" s="14"/>
      <c r="M91" s="14"/>
      <c r="N91" s="14"/>
      <c r="O91" s="14"/>
      <c r="P91" s="14"/>
    </row>
    <row r="92" spans="1:16" x14ac:dyDescent="0.2">
      <c r="G92" s="96"/>
    </row>
    <row r="93" spans="1:16" x14ac:dyDescent="0.2">
      <c r="A93" s="14"/>
      <c r="B93" s="15"/>
      <c r="C93" s="15"/>
      <c r="D93" s="15"/>
      <c r="F93" s="15"/>
      <c r="G93" s="17"/>
      <c r="H93" s="14"/>
      <c r="I93" s="14"/>
      <c r="J93" s="14"/>
      <c r="K93" s="14"/>
      <c r="L93" s="14"/>
      <c r="M93" s="14"/>
      <c r="N93" s="14"/>
      <c r="O93" s="14"/>
      <c r="P93" s="14"/>
    </row>
    <row r="94" spans="1:16" x14ac:dyDescent="0.2">
      <c r="G94" s="96"/>
    </row>
    <row r="95" spans="1:16" x14ac:dyDescent="0.2">
      <c r="A95" s="14"/>
      <c r="B95" s="15"/>
      <c r="C95" s="15"/>
      <c r="D95" s="15"/>
      <c r="F95" s="15"/>
      <c r="G95" s="17"/>
      <c r="H95" s="14"/>
      <c r="I95" s="14"/>
      <c r="J95" s="14"/>
      <c r="K95" s="14"/>
      <c r="L95" s="14"/>
      <c r="M95" s="14"/>
      <c r="N95" s="14"/>
      <c r="O95" s="14"/>
      <c r="P95" s="14"/>
    </row>
    <row r="96" spans="1:16" x14ac:dyDescent="0.2">
      <c r="G96" s="96"/>
    </row>
    <row r="97" spans="1:16" x14ac:dyDescent="0.2">
      <c r="A97" s="14"/>
      <c r="B97" s="15"/>
      <c r="C97" s="15"/>
      <c r="D97" s="15"/>
      <c r="F97" s="15"/>
      <c r="G97" s="17"/>
      <c r="H97" s="14"/>
      <c r="I97" s="14"/>
      <c r="J97" s="14"/>
      <c r="K97" s="14"/>
      <c r="L97" s="14"/>
      <c r="M97" s="14"/>
      <c r="N97" s="14"/>
      <c r="O97" s="14"/>
      <c r="P97" s="14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8CA453-9B43-4D2E-A135-C6D614BF32E2}">
  <sheetPr>
    <tabColor theme="9" tint="0.59999389629810485"/>
    <pageSetUpPr fitToPage="1"/>
  </sheetPr>
  <dimension ref="A1:P44"/>
  <sheetViews>
    <sheetView zoomScaleNormal="100" workbookViewId="0"/>
  </sheetViews>
  <sheetFormatPr defaultColWidth="9.140625" defaultRowHeight="15" customHeight="1" x14ac:dyDescent="0.25"/>
  <cols>
    <col min="1" max="1" width="38.140625" style="50" customWidth="1"/>
    <col min="2" max="17" width="9.28515625" style="50" customWidth="1"/>
    <col min="18" max="16384" width="9.140625" style="50"/>
  </cols>
  <sheetData>
    <row r="1" spans="1:16" s="133" customFormat="1" ht="14.45" customHeight="1" x14ac:dyDescent="0.2">
      <c r="A1" s="122" t="s">
        <v>194</v>
      </c>
    </row>
    <row r="2" spans="1:16" s="133" customFormat="1" ht="14.45" customHeight="1" x14ac:dyDescent="0.2"/>
    <row r="3" spans="1:16" s="133" customFormat="1" ht="14.45" customHeight="1" x14ac:dyDescent="0.2">
      <c r="A3" s="215" t="s">
        <v>70</v>
      </c>
      <c r="B3" s="216"/>
      <c r="C3" s="216"/>
      <c r="D3" s="216"/>
    </row>
    <row r="4" spans="1:16" s="133" customFormat="1" ht="14.45" customHeight="1" x14ac:dyDescent="0.2">
      <c r="A4" s="215" t="s">
        <v>72</v>
      </c>
      <c r="B4" s="216"/>
      <c r="C4" s="216"/>
      <c r="D4" s="216"/>
    </row>
    <row r="5" spans="1:16" s="133" customFormat="1" ht="14.45" customHeight="1" x14ac:dyDescent="0.2">
      <c r="A5" s="215" t="s">
        <v>73</v>
      </c>
      <c r="B5" s="216"/>
      <c r="C5" s="216"/>
      <c r="D5" s="216"/>
    </row>
    <row r="6" spans="1:16" s="133" customFormat="1" ht="14.45" customHeight="1" x14ac:dyDescent="0.2">
      <c r="A6" s="215" t="s">
        <v>74</v>
      </c>
      <c r="B6" s="216"/>
      <c r="C6" s="216"/>
      <c r="D6" s="216"/>
    </row>
    <row r="7" spans="1:16" s="133" customFormat="1" ht="14.45" customHeight="1" x14ac:dyDescent="0.2">
      <c r="A7" s="215" t="s">
        <v>196</v>
      </c>
      <c r="B7" s="216"/>
      <c r="C7" s="216"/>
      <c r="D7" s="216"/>
    </row>
    <row r="8" spans="1:16" s="133" customFormat="1" ht="14.45" customHeight="1" x14ac:dyDescent="0.2">
      <c r="A8" s="123"/>
    </row>
    <row r="9" spans="1:16" s="133" customFormat="1" ht="14.45" customHeight="1" x14ac:dyDescent="0.2">
      <c r="A9" s="123"/>
    </row>
    <row r="10" spans="1:16" s="133" customFormat="1" ht="15" customHeight="1" x14ac:dyDescent="0.2">
      <c r="A10" s="51" t="s">
        <v>77</v>
      </c>
      <c r="B10" s="51" t="s">
        <v>145</v>
      </c>
      <c r="C10" s="52"/>
      <c r="D10" s="52"/>
      <c r="E10" s="52"/>
      <c r="F10" s="200"/>
      <c r="G10" s="200"/>
      <c r="H10" s="200"/>
      <c r="I10" s="200"/>
      <c r="J10" s="200"/>
      <c r="K10" s="200"/>
      <c r="M10" s="51" t="s">
        <v>144</v>
      </c>
      <c r="N10" s="51"/>
      <c r="O10" s="200"/>
      <c r="P10" s="200"/>
    </row>
    <row r="11" spans="1:16" s="133" customFormat="1" ht="15" customHeight="1" x14ac:dyDescent="0.2">
      <c r="A11" s="124" t="s">
        <v>32</v>
      </c>
      <c r="B11" s="125">
        <v>700</v>
      </c>
      <c r="C11" s="125">
        <v>700</v>
      </c>
      <c r="D11" s="125">
        <v>700</v>
      </c>
      <c r="E11" s="125">
        <v>702</v>
      </c>
      <c r="F11" s="125">
        <v>700</v>
      </c>
      <c r="G11" s="125">
        <v>602</v>
      </c>
      <c r="H11" s="125">
        <v>700</v>
      </c>
      <c r="I11" s="125">
        <v>700</v>
      </c>
      <c r="J11" s="125">
        <v>700</v>
      </c>
      <c r="K11" s="125">
        <v>701</v>
      </c>
      <c r="M11" s="130">
        <v>700</v>
      </c>
      <c r="N11" s="130">
        <v>602</v>
      </c>
      <c r="O11" s="130">
        <v>700</v>
      </c>
      <c r="P11" s="130">
        <v>700</v>
      </c>
    </row>
    <row r="12" spans="1:16" s="133" customFormat="1" ht="30" customHeight="1" x14ac:dyDescent="0.25">
      <c r="A12" s="206" t="s">
        <v>146</v>
      </c>
      <c r="B12" s="126">
        <f>'Kohde 12 KESÄ ma-pe'!G13</f>
        <v>0.2986111111111111</v>
      </c>
      <c r="C12" s="126">
        <f>'Kohde 12 KESÄ ma-pe'!G31</f>
        <v>0.34027777777777773</v>
      </c>
      <c r="D12" s="126">
        <f>'Kohde 12 KESÄ ma-pe'!G33</f>
        <v>0.4236111111111111</v>
      </c>
      <c r="E12" s="127">
        <f>'Kohde 12 KESÄ ma-pe'!G16</f>
        <v>0.50347222222222221</v>
      </c>
      <c r="F12" s="127">
        <f>'Kohde 12 KESÄ ma-pe'!G36</f>
        <v>0.55208333333333337</v>
      </c>
      <c r="G12" s="126"/>
      <c r="H12" s="126">
        <f>'Kohde 12 KESÄ ma-pe'!G38</f>
        <v>0.63888888888888895</v>
      </c>
      <c r="I12" s="126">
        <f>'Kohde 12 KESÄ ma-pe'!G20</f>
        <v>0.68055555555555547</v>
      </c>
      <c r="J12" s="126">
        <f>'Kohde 12 KESÄ ma-pe'!G22</f>
        <v>0.76388888888888884</v>
      </c>
      <c r="K12" s="126">
        <f>'Kohde 12 KESÄ ma-pe'!G24</f>
        <v>0.84722222222222221</v>
      </c>
      <c r="M12" s="127">
        <f>'Kohde KESÄ LA'!G14</f>
        <v>0.32291666665696539</v>
      </c>
      <c r="O12" s="214">
        <f>'Kohde KESÄ LA'!G19</f>
        <v>0.62152777777777757</v>
      </c>
      <c r="P12" s="214">
        <f>'Kohde KESÄ LA'!G21</f>
        <v>0.68055555555555514</v>
      </c>
    </row>
    <row r="13" spans="1:16" s="133" customFormat="1" ht="30" customHeight="1" x14ac:dyDescent="0.25">
      <c r="A13" s="207" t="s">
        <v>168</v>
      </c>
      <c r="B13" s="161" t="s">
        <v>39</v>
      </c>
      <c r="C13" s="161" t="s">
        <v>39</v>
      </c>
      <c r="D13" s="161" t="s">
        <v>39</v>
      </c>
      <c r="E13" s="161" t="s">
        <v>39</v>
      </c>
      <c r="F13" s="161" t="s">
        <v>39</v>
      </c>
      <c r="G13" s="161">
        <f>'Kohde 12 KESÄ ma-pe'!G18</f>
        <v>0.59722222222222221</v>
      </c>
      <c r="H13" s="161" t="s">
        <v>39</v>
      </c>
      <c r="I13" s="161" t="s">
        <v>39</v>
      </c>
      <c r="J13" s="161" t="s">
        <v>39</v>
      </c>
      <c r="K13" s="161" t="s">
        <v>39</v>
      </c>
      <c r="M13" s="161" t="s">
        <v>39</v>
      </c>
      <c r="N13" s="203">
        <f>'Kohde KESÄ LA'!G17</f>
        <v>0.55555555555555558</v>
      </c>
      <c r="O13" s="161" t="s">
        <v>39</v>
      </c>
      <c r="P13" s="161" t="s">
        <v>39</v>
      </c>
    </row>
    <row r="14" spans="1:16" s="133" customFormat="1" ht="15" customHeight="1" x14ac:dyDescent="0.2">
      <c r="A14" s="136" t="s">
        <v>143</v>
      </c>
      <c r="B14" s="128">
        <f>'Kohde 12 KESÄ ma-pe'!I13</f>
        <v>0.30138888888888887</v>
      </c>
      <c r="C14" s="128">
        <f>'Kohde 12 KESÄ ma-pe'!I31</f>
        <v>0.3430555555555555</v>
      </c>
      <c r="D14" s="128">
        <f>'Kohde 12 KESÄ ma-pe'!I33</f>
        <v>0.42638888888888887</v>
      </c>
      <c r="E14" s="81">
        <f>'Kohde 12 KESÄ ma-pe'!I16</f>
        <v>0.50624999999999998</v>
      </c>
      <c r="F14" s="81">
        <f>'Kohde 12 KESÄ ma-pe'!I36</f>
        <v>0.55486111111111114</v>
      </c>
      <c r="G14" s="128" t="s">
        <v>39</v>
      </c>
      <c r="H14" s="128">
        <f>'Kohde 12 KESÄ ma-pe'!I38</f>
        <v>0.64166666666666672</v>
      </c>
      <c r="I14" s="128">
        <f>'Kohde 12 KESÄ ma-pe'!I20</f>
        <v>0.68333333333333324</v>
      </c>
      <c r="J14" s="128">
        <f>'Kohde 12 KESÄ ma-pe'!I22</f>
        <v>0.76666666666666661</v>
      </c>
      <c r="K14" s="128">
        <f>'Kohde 12 KESÄ ma-pe'!I24</f>
        <v>0.85</v>
      </c>
      <c r="M14" s="81">
        <f>'Kohde KESÄ LA'!I14</f>
        <v>0.32569444443474316</v>
      </c>
      <c r="N14" s="131" t="s">
        <v>38</v>
      </c>
      <c r="O14" s="81">
        <f>'Kohde KESÄ LA'!I19</f>
        <v>0.62430555555555534</v>
      </c>
      <c r="P14" s="81">
        <f>'Kohde KESÄ LA'!I21</f>
        <v>0.6833333333333329</v>
      </c>
    </row>
    <row r="15" spans="1:16" s="133" customFormat="1" ht="15" customHeight="1" x14ac:dyDescent="0.25">
      <c r="A15" s="208" t="s">
        <v>102</v>
      </c>
      <c r="B15" s="98" t="s">
        <v>38</v>
      </c>
      <c r="C15" s="98" t="s">
        <v>38</v>
      </c>
      <c r="D15" s="98" t="s">
        <v>38</v>
      </c>
      <c r="E15" s="98" t="s">
        <v>38</v>
      </c>
      <c r="F15" s="98" t="s">
        <v>38</v>
      </c>
      <c r="G15" s="98">
        <f>'Kohde 12 KESÄ ma-pe'!I18</f>
        <v>0.60902777777777772</v>
      </c>
      <c r="H15" s="98" t="s">
        <v>38</v>
      </c>
      <c r="I15" s="98" t="s">
        <v>38</v>
      </c>
      <c r="J15" s="98" t="s">
        <v>38</v>
      </c>
      <c r="K15" s="98" t="s">
        <v>38</v>
      </c>
      <c r="M15" s="202"/>
      <c r="N15" s="114">
        <f>'Kohde KESÄ LA'!I17</f>
        <v>0.56736111111111109</v>
      </c>
      <c r="O15" s="161" t="s">
        <v>39</v>
      </c>
      <c r="P15" s="161" t="s">
        <v>39</v>
      </c>
    </row>
    <row r="16" spans="1:16" s="133" customFormat="1" ht="15" customHeight="1" x14ac:dyDescent="0.2">
      <c r="A16" s="209" t="s">
        <v>54</v>
      </c>
      <c r="B16" s="128">
        <f>'Kohde 12 KESÄ ma-pe'!K13</f>
        <v>0.31388888888888888</v>
      </c>
      <c r="C16" s="128">
        <f>'Kohde 12 KESÄ ma-pe'!K31</f>
        <v>0.35555555555555551</v>
      </c>
      <c r="D16" s="128">
        <f>'Kohde 12 KESÄ ma-pe'!K33</f>
        <v>0.43888888888888888</v>
      </c>
      <c r="E16" s="81">
        <f>'Kohde 12 KESÄ ma-pe'!K16</f>
        <v>0.51874999999999993</v>
      </c>
      <c r="F16" s="81">
        <f>'Kohde 12 KESÄ ma-pe'!K36</f>
        <v>0.56736111111111109</v>
      </c>
      <c r="G16" s="128" t="s">
        <v>39</v>
      </c>
      <c r="H16" s="128">
        <f>'Kohde 12 KESÄ ma-pe'!K38</f>
        <v>0.65416666666666667</v>
      </c>
      <c r="I16" s="128">
        <f>'Kohde 12 KESÄ ma-pe'!K20</f>
        <v>0.69583333333333319</v>
      </c>
      <c r="J16" s="128">
        <f>'Kohde 12 KESÄ ma-pe'!K22</f>
        <v>0.77916666666666656</v>
      </c>
      <c r="K16" s="128">
        <f>'Kohde 12 KESÄ ma-pe'!K24</f>
        <v>0.86249999999999993</v>
      </c>
      <c r="M16" s="81">
        <f>'Kohde KESÄ LA'!K14</f>
        <v>0.33819444443474317</v>
      </c>
      <c r="N16" s="131" t="s">
        <v>38</v>
      </c>
      <c r="O16" s="81">
        <f>'Kohde KESÄ LA'!K19</f>
        <v>0.63680555555555529</v>
      </c>
      <c r="P16" s="81">
        <f>'Kohde KESÄ LA'!K21</f>
        <v>0.69583333333333286</v>
      </c>
    </row>
    <row r="17" spans="1:16" s="133" customFormat="1" ht="15" customHeight="1" x14ac:dyDescent="0.2">
      <c r="A17" s="208" t="s">
        <v>79</v>
      </c>
      <c r="B17" s="98" t="s">
        <v>38</v>
      </c>
      <c r="C17" s="98" t="s">
        <v>38</v>
      </c>
      <c r="D17" s="98" t="s">
        <v>38</v>
      </c>
      <c r="E17" s="98" t="s">
        <v>38</v>
      </c>
      <c r="F17" s="98" t="s">
        <v>38</v>
      </c>
      <c r="G17" s="98" t="s">
        <v>99</v>
      </c>
      <c r="H17" s="98" t="s">
        <v>38</v>
      </c>
      <c r="I17" s="98" t="s">
        <v>38</v>
      </c>
      <c r="J17" s="98" t="s">
        <v>38</v>
      </c>
      <c r="K17" s="98" t="s">
        <v>38</v>
      </c>
      <c r="M17" s="98" t="s">
        <v>38</v>
      </c>
      <c r="N17" s="201" t="str">
        <f>'Kohde KESÄ LA'!K17</f>
        <v>z</v>
      </c>
      <c r="O17" s="98" t="s">
        <v>38</v>
      </c>
      <c r="P17" s="98" t="s">
        <v>38</v>
      </c>
    </row>
    <row r="18" spans="1:16" s="133" customFormat="1" ht="15" customHeight="1" x14ac:dyDescent="0.2">
      <c r="A18" s="136" t="s">
        <v>55</v>
      </c>
      <c r="B18" s="131" t="s">
        <v>38</v>
      </c>
      <c r="C18" s="131" t="s">
        <v>38</v>
      </c>
      <c r="D18" s="131" t="s">
        <v>38</v>
      </c>
      <c r="E18" s="131" t="s">
        <v>38</v>
      </c>
      <c r="F18" s="131" t="s">
        <v>38</v>
      </c>
      <c r="G18" s="131">
        <f>'Kohde 12 KESÄ ma-pe'!M18</f>
        <v>0.62152777777777768</v>
      </c>
      <c r="H18" s="131" t="s">
        <v>38</v>
      </c>
      <c r="I18" s="131" t="s">
        <v>38</v>
      </c>
      <c r="J18" s="131" t="s">
        <v>38</v>
      </c>
      <c r="K18" s="131" t="s">
        <v>38</v>
      </c>
      <c r="M18" s="131" t="s">
        <v>38</v>
      </c>
      <c r="N18" s="199">
        <f>'Kohde KESÄ LA'!M17</f>
        <v>0.57986111111111105</v>
      </c>
      <c r="O18" s="131" t="s">
        <v>38</v>
      </c>
      <c r="P18" s="131" t="s">
        <v>38</v>
      </c>
    </row>
    <row r="19" spans="1:16" s="133" customFormat="1" ht="15" customHeight="1" x14ac:dyDescent="0.2">
      <c r="A19" s="208" t="s">
        <v>147</v>
      </c>
      <c r="B19" s="98">
        <f>'Kohde 12 KESÄ ma-pe'!S13</f>
        <v>0.3298611111111111</v>
      </c>
      <c r="C19" s="98">
        <f>'Kohde 12 KESÄ ma-pe'!S31</f>
        <v>0.37152777777777773</v>
      </c>
      <c r="D19" s="98">
        <f>'Kohde 12 KESÄ ma-pe'!S33</f>
        <v>0.4513888888888889</v>
      </c>
      <c r="E19" s="114">
        <f>'Kohde 12 KESÄ ma-pe'!$M$16</f>
        <v>0.53124999999999989</v>
      </c>
      <c r="F19" s="114">
        <f>'Kohde 12 KESÄ ma-pe'!S36</f>
        <v>0.57986111111111105</v>
      </c>
      <c r="G19" s="98">
        <f>'Kohde 12 KESÄ ma-pe'!S18</f>
        <v>0.6284722222222221</v>
      </c>
      <c r="H19" s="98">
        <f>'Kohde 12 KESÄ ma-pe'!S38</f>
        <v>0.67013888888888895</v>
      </c>
      <c r="I19" s="98">
        <f>'Kohde 12 KESÄ ma-pe'!S20</f>
        <v>0.71180555555555547</v>
      </c>
      <c r="J19" s="98">
        <f>'Kohde 12 KESÄ ma-pe'!S22</f>
        <v>0.79166666666666652</v>
      </c>
      <c r="K19" s="98">
        <f>'Kohde 12 KESÄ ma-pe'!$S$24</f>
        <v>0.87499999999999989</v>
      </c>
      <c r="M19" s="114">
        <f>'Kohde KESÄ LA'!O14</f>
        <v>0.35069444443474318</v>
      </c>
      <c r="N19" s="114">
        <f>'Kohde KESÄ LA'!O17</f>
        <v>0.58680555555555547</v>
      </c>
      <c r="O19" s="114">
        <f>'Kohde KESÄ LA'!O19</f>
        <v>0.64930555555555525</v>
      </c>
      <c r="P19" s="114">
        <f>'Kohde KESÄ LA'!O21</f>
        <v>0.7097222222222217</v>
      </c>
    </row>
    <row r="20" spans="1:16" s="133" customFormat="1" ht="15" customHeight="1" x14ac:dyDescent="0.2">
      <c r="A20" s="136" t="s">
        <v>62</v>
      </c>
      <c r="B20" s="131"/>
      <c r="C20" s="131"/>
      <c r="D20" s="131"/>
      <c r="E20" s="81">
        <f>'Kohde 12 KESÄ ma-pe'!$S$16</f>
        <v>0.53819444444444431</v>
      </c>
      <c r="F20" s="131"/>
      <c r="G20" s="131"/>
      <c r="H20" s="131"/>
      <c r="I20" s="131"/>
      <c r="J20" s="131"/>
      <c r="K20" s="131" t="s">
        <v>38</v>
      </c>
    </row>
    <row r="21" spans="1:16" s="133" customFormat="1" ht="15" customHeight="1" x14ac:dyDescent="0.2">
      <c r="A21" s="208" t="s">
        <v>55</v>
      </c>
      <c r="B21" s="98"/>
      <c r="C21" s="98"/>
      <c r="D21" s="98"/>
      <c r="E21" s="98"/>
      <c r="F21" s="98"/>
      <c r="G21" s="98"/>
      <c r="H21" s="98"/>
      <c r="I21" s="98"/>
      <c r="J21" s="98"/>
      <c r="K21" s="98" t="s">
        <v>167</v>
      </c>
      <c r="M21" s="202"/>
      <c r="N21" s="202"/>
      <c r="O21" s="202"/>
      <c r="P21" s="202"/>
    </row>
    <row r="22" spans="1:16" s="133" customFormat="1" ht="15" customHeight="1" x14ac:dyDescent="0.2">
      <c r="A22" s="135"/>
      <c r="D22" s="128"/>
      <c r="E22" s="128"/>
      <c r="F22" s="81"/>
      <c r="G22" s="37"/>
      <c r="H22" s="129"/>
    </row>
    <row r="23" spans="1:16" s="133" customFormat="1" ht="33.950000000000003" customHeight="1" x14ac:dyDescent="0.2">
      <c r="A23" s="135"/>
      <c r="C23" s="204" t="s">
        <v>164</v>
      </c>
      <c r="D23" s="254" t="s">
        <v>195</v>
      </c>
      <c r="E23" s="254"/>
      <c r="F23" s="254"/>
      <c r="G23" s="254"/>
      <c r="H23" s="254"/>
      <c r="I23" s="254"/>
      <c r="J23" s="254"/>
      <c r="K23" s="254"/>
    </row>
    <row r="24" spans="1:16" s="133" customFormat="1" ht="15" customHeight="1" x14ac:dyDescent="0.2">
      <c r="A24" s="135"/>
      <c r="H24" s="113"/>
      <c r="I24" s="113"/>
    </row>
    <row r="25" spans="1:16" s="133" customFormat="1" ht="15" customHeight="1" x14ac:dyDescent="0.2">
      <c r="A25" s="51" t="s">
        <v>81</v>
      </c>
      <c r="B25" s="51" t="s">
        <v>145</v>
      </c>
      <c r="C25" s="52"/>
      <c r="D25" s="52"/>
      <c r="E25" s="52"/>
      <c r="F25" s="200"/>
      <c r="G25" s="200"/>
      <c r="H25" s="200"/>
      <c r="I25" s="200"/>
      <c r="J25" s="200"/>
      <c r="K25" s="200"/>
      <c r="M25" s="51" t="s">
        <v>144</v>
      </c>
      <c r="N25" s="51"/>
      <c r="O25" s="200"/>
      <c r="P25" s="200"/>
    </row>
    <row r="26" spans="1:16" s="133" customFormat="1" ht="15" customHeight="1" x14ac:dyDescent="0.2">
      <c r="A26" s="210" t="s">
        <v>32</v>
      </c>
      <c r="B26" s="130">
        <v>703</v>
      </c>
      <c r="C26" s="125">
        <v>700</v>
      </c>
      <c r="D26" s="125">
        <v>700</v>
      </c>
      <c r="E26" s="125">
        <v>602</v>
      </c>
      <c r="F26" s="125">
        <v>702</v>
      </c>
      <c r="G26" s="125">
        <v>700</v>
      </c>
      <c r="H26" s="125">
        <v>700</v>
      </c>
      <c r="I26" s="130">
        <v>700</v>
      </c>
      <c r="J26" s="125">
        <v>602</v>
      </c>
      <c r="K26" s="125">
        <v>700</v>
      </c>
      <c r="M26" s="125">
        <v>700</v>
      </c>
      <c r="N26" s="125">
        <v>602</v>
      </c>
      <c r="O26" s="125">
        <v>700</v>
      </c>
      <c r="P26" s="125">
        <v>700</v>
      </c>
    </row>
    <row r="27" spans="1:16" s="133" customFormat="1" ht="15" customHeight="1" x14ac:dyDescent="0.2">
      <c r="A27" s="211"/>
      <c r="B27" s="150" t="s">
        <v>93</v>
      </c>
      <c r="C27" s="55"/>
      <c r="D27" s="55"/>
      <c r="E27" s="55"/>
      <c r="F27" s="55"/>
      <c r="G27" s="55"/>
      <c r="H27" s="55"/>
      <c r="I27" s="150"/>
      <c r="J27" s="55"/>
      <c r="K27" s="55"/>
    </row>
    <row r="28" spans="1:16" s="135" customFormat="1" ht="15" customHeight="1" x14ac:dyDescent="0.2">
      <c r="A28" s="212" t="s">
        <v>60</v>
      </c>
      <c r="B28" s="98">
        <f>'Kohde 12 KESÄ ma-pe'!G28</f>
        <v>0.28125</v>
      </c>
      <c r="C28" s="149" t="s">
        <v>38</v>
      </c>
      <c r="D28" s="149" t="s">
        <v>38</v>
      </c>
      <c r="E28" s="149" t="s">
        <v>38</v>
      </c>
      <c r="F28" s="149" t="s">
        <v>38</v>
      </c>
      <c r="G28" s="149" t="s">
        <v>38</v>
      </c>
      <c r="H28" s="149" t="s">
        <v>38</v>
      </c>
      <c r="I28" s="149" t="s">
        <v>38</v>
      </c>
      <c r="J28" s="149" t="s">
        <v>38</v>
      </c>
      <c r="K28" s="149" t="s">
        <v>38</v>
      </c>
      <c r="M28" s="149" t="s">
        <v>38</v>
      </c>
      <c r="N28" s="149" t="s">
        <v>38</v>
      </c>
      <c r="O28" s="149" t="s">
        <v>38</v>
      </c>
      <c r="P28" s="149" t="s">
        <v>38</v>
      </c>
    </row>
    <row r="29" spans="1:16" s="133" customFormat="1" ht="15" customHeight="1" x14ac:dyDescent="0.2">
      <c r="A29" s="136" t="s">
        <v>62</v>
      </c>
      <c r="B29" s="128" t="s">
        <v>38</v>
      </c>
      <c r="C29" s="128" t="s">
        <v>38</v>
      </c>
      <c r="D29" s="128" t="s">
        <v>38</v>
      </c>
      <c r="E29" s="128" t="s">
        <v>38</v>
      </c>
      <c r="F29" s="128">
        <f>'Kohde 12 KESÄ ma-pe'!G17</f>
        <v>0.54166666666666663</v>
      </c>
      <c r="G29" s="128" t="s">
        <v>38</v>
      </c>
      <c r="H29" s="128" t="s">
        <v>38</v>
      </c>
      <c r="I29" s="128" t="s">
        <v>38</v>
      </c>
      <c r="J29" s="128" t="s">
        <v>38</v>
      </c>
      <c r="K29" s="128" t="s">
        <v>38</v>
      </c>
      <c r="M29" s="128" t="s">
        <v>38</v>
      </c>
      <c r="N29" s="128" t="s">
        <v>38</v>
      </c>
      <c r="O29" s="128" t="s">
        <v>38</v>
      </c>
      <c r="P29" s="128" t="s">
        <v>38</v>
      </c>
    </row>
    <row r="30" spans="1:16" s="133" customFormat="1" ht="15" customHeight="1" x14ac:dyDescent="0.25">
      <c r="A30" s="213" t="s">
        <v>147</v>
      </c>
      <c r="B30" s="148">
        <f>'Kohde 12 KESÄ ma-pe'!I28</f>
        <v>0.29166666666666669</v>
      </c>
      <c r="C30" s="148">
        <f>'Kohde 12 KESÄ ma-pe'!G14</f>
        <v>0.33333333333333331</v>
      </c>
      <c r="D30" s="148">
        <f>'Kohde 12 KESÄ ma-pe'!G32</f>
        <v>0.375</v>
      </c>
      <c r="E30" s="148">
        <f>'Kohde 12 KESÄ ma-pe'!G34</f>
        <v>0.46527777777777773</v>
      </c>
      <c r="F30" s="148">
        <f>'Kohde 12 KESÄ ma-pe'!I17</f>
        <v>0.54861111111111105</v>
      </c>
      <c r="G30" s="148">
        <f>'Kohde 12 KESÄ ma-pe'!G37</f>
        <v>0.59027777777777779</v>
      </c>
      <c r="H30" s="148">
        <f>'Kohde 12 KESÄ ma-pe'!G19</f>
        <v>0.63194444444444442</v>
      </c>
      <c r="I30" s="115">
        <f>'Kohde 12 KESÄ ma-pe'!G39</f>
        <v>0.67361111111111116</v>
      </c>
      <c r="J30" s="148">
        <f>'Kohde 12 KESÄ ma-pe'!G21</f>
        <v>0.71527777777777779</v>
      </c>
      <c r="K30" s="148">
        <f>'Kohde 12 KESÄ ma-pe'!G23</f>
        <v>0.79861111111111116</v>
      </c>
      <c r="M30" s="126">
        <f>'Kohde KESÄ LA'!G13</f>
        <v>0.29166666665696539</v>
      </c>
      <c r="N30" s="126">
        <f>'Kohde KESÄ LA'!G15</f>
        <v>0.35069444443474318</v>
      </c>
      <c r="O30" s="126">
        <f>'Kohde KESÄ LA'!G18</f>
        <v>0.59027777777777768</v>
      </c>
      <c r="P30" s="126">
        <f>'Kohde KESÄ LA'!G20</f>
        <v>0.64930555555555525</v>
      </c>
    </row>
    <row r="31" spans="1:16" s="133" customFormat="1" ht="15" customHeight="1" x14ac:dyDescent="0.2">
      <c r="A31" s="136" t="s">
        <v>55</v>
      </c>
      <c r="B31" s="128" t="s">
        <v>38</v>
      </c>
      <c r="C31" s="128" t="s">
        <v>38</v>
      </c>
      <c r="D31" s="128" t="s">
        <v>38</v>
      </c>
      <c r="E31" s="128">
        <f>'Kohde 12 KESÄ ma-pe'!$I$34</f>
        <v>0.47083333333333327</v>
      </c>
      <c r="F31" s="128" t="s">
        <v>38</v>
      </c>
      <c r="G31" s="128" t="s">
        <v>38</v>
      </c>
      <c r="H31" s="128" t="s">
        <v>38</v>
      </c>
      <c r="I31" s="128" t="s">
        <v>38</v>
      </c>
      <c r="J31" s="128">
        <f>'Kohde 12 KESÄ ma-pe'!$I$21</f>
        <v>0.72083333333333333</v>
      </c>
      <c r="K31" s="128" t="s">
        <v>38</v>
      </c>
      <c r="M31" s="128" t="s">
        <v>38</v>
      </c>
      <c r="N31" s="81">
        <f>'Kohde KESÄ LA'!I15</f>
        <v>0.35624999999029872</v>
      </c>
      <c r="O31" s="128" t="s">
        <v>38</v>
      </c>
      <c r="P31" s="128" t="s">
        <v>38</v>
      </c>
    </row>
    <row r="32" spans="1:16" s="133" customFormat="1" ht="15" customHeight="1" x14ac:dyDescent="0.2">
      <c r="A32" s="208" t="s">
        <v>79</v>
      </c>
      <c r="B32" s="98" t="s">
        <v>154</v>
      </c>
      <c r="C32" s="98" t="s">
        <v>38</v>
      </c>
      <c r="D32" s="98" t="s">
        <v>38</v>
      </c>
      <c r="E32" s="98" t="s">
        <v>99</v>
      </c>
      <c r="F32" s="98" t="s">
        <v>38</v>
      </c>
      <c r="G32" s="98" t="s">
        <v>38</v>
      </c>
      <c r="H32" s="98" t="s">
        <v>38</v>
      </c>
      <c r="I32" s="114" t="s">
        <v>38</v>
      </c>
      <c r="J32" s="98" t="s">
        <v>99</v>
      </c>
      <c r="K32" s="98" t="s">
        <v>38</v>
      </c>
      <c r="M32" s="98" t="s">
        <v>38</v>
      </c>
      <c r="N32" s="114" t="str">
        <f>'Kohde KESÄ LA'!K15</f>
        <v>z</v>
      </c>
      <c r="O32" s="149" t="s">
        <v>38</v>
      </c>
      <c r="P32" s="149" t="s">
        <v>38</v>
      </c>
    </row>
    <row r="33" spans="1:16" s="133" customFormat="1" ht="15" customHeight="1" x14ac:dyDescent="0.2">
      <c r="A33" s="136" t="s">
        <v>54</v>
      </c>
      <c r="B33" s="128">
        <f>'Kohde 12 KESÄ ma-pe'!$K$28</f>
        <v>0.30208333333333337</v>
      </c>
      <c r="C33" s="128">
        <f>'Kohde 12 KESÄ ma-pe'!$I$14</f>
        <v>0.34375</v>
      </c>
      <c r="D33" s="128">
        <f>'Kohde 12 KESÄ ma-pe'!$I$32</f>
        <v>0.38541666666666669</v>
      </c>
      <c r="E33" s="128" t="s">
        <v>38</v>
      </c>
      <c r="F33" s="128">
        <f>'Kohde 12 KESÄ ma-pe'!$K$17</f>
        <v>0.55902777777777768</v>
      </c>
      <c r="G33" s="128">
        <f>'Kohde 12 KESÄ ma-pe'!$I$37</f>
        <v>0.60069444444444442</v>
      </c>
      <c r="H33" s="128">
        <f>'Kohde 12 KESÄ ma-pe'!$I$19</f>
        <v>0.64236111111111105</v>
      </c>
      <c r="I33" s="81">
        <f>'Kohde 12 KESÄ ma-pe'!$I$39</f>
        <v>0.68402777777777779</v>
      </c>
      <c r="J33" s="128" t="s">
        <v>38</v>
      </c>
      <c r="K33" s="128">
        <f>'Kohde 12 KESÄ ma-pe'!$I$23</f>
        <v>0.80902777777777779</v>
      </c>
      <c r="M33" s="81">
        <f>'Kohde KESÄ LA'!I13</f>
        <v>0.30277777776807652</v>
      </c>
      <c r="N33" s="128" t="s">
        <v>38</v>
      </c>
      <c r="O33" s="81">
        <f>'Kohde KESÄ LA'!I18</f>
        <v>0.60138888888888875</v>
      </c>
      <c r="P33" s="81">
        <f>'Kohde KESÄ LA'!I20</f>
        <v>0.66041666666666632</v>
      </c>
    </row>
    <row r="34" spans="1:16" s="133" customFormat="1" ht="15" customHeight="1" x14ac:dyDescent="0.2">
      <c r="A34" s="208" t="s">
        <v>102</v>
      </c>
      <c r="B34" s="98" t="s">
        <v>154</v>
      </c>
      <c r="C34" s="98" t="s">
        <v>38</v>
      </c>
      <c r="D34" s="98" t="s">
        <v>38</v>
      </c>
      <c r="E34" s="98">
        <f>'Kohde 12 KESÄ ma-pe'!$M$34</f>
        <v>0.48402777777777772</v>
      </c>
      <c r="F34" s="98" t="s">
        <v>38</v>
      </c>
      <c r="G34" s="98" t="s">
        <v>38</v>
      </c>
      <c r="H34" s="98" t="s">
        <v>38</v>
      </c>
      <c r="I34" s="114" t="s">
        <v>38</v>
      </c>
      <c r="J34" s="98"/>
      <c r="K34" s="98" t="s">
        <v>38</v>
      </c>
      <c r="L34" s="205"/>
      <c r="M34" s="98" t="s">
        <v>38</v>
      </c>
      <c r="N34" s="201">
        <f>'Kohde KESÄ LA'!M15</f>
        <v>0.36944444443474317</v>
      </c>
      <c r="O34" s="98" t="s">
        <v>38</v>
      </c>
      <c r="P34" s="98" t="s">
        <v>38</v>
      </c>
    </row>
    <row r="35" spans="1:16" s="133" customFormat="1" ht="15" customHeight="1" x14ac:dyDescent="0.2">
      <c r="A35" s="136" t="s">
        <v>143</v>
      </c>
      <c r="B35" s="128">
        <f>'Kohde 12 KESÄ ma-pe'!$Q$28</f>
        <v>0.31597222222222227</v>
      </c>
      <c r="C35" s="128">
        <f>'Kohde 12 KESÄ ma-pe'!$K$14</f>
        <v>0.3576388888888889</v>
      </c>
      <c r="D35" s="128">
        <f>'Kohde 12 KESÄ ma-pe'!$K$32</f>
        <v>0.39930555555555558</v>
      </c>
      <c r="E35" s="128" t="s">
        <v>39</v>
      </c>
      <c r="F35" s="128">
        <f>'Kohde 12 KESÄ ma-pe'!$M$17</f>
        <v>0.57291666666666652</v>
      </c>
      <c r="G35" s="128">
        <f>'Kohde 12 KESÄ ma-pe'!$K$37</f>
        <v>0.61458333333333326</v>
      </c>
      <c r="H35" s="128">
        <f>'Kohde 12 KESÄ ma-pe'!$K$19</f>
        <v>0.65624999999999989</v>
      </c>
      <c r="I35" s="81">
        <f>'Kohde 12 KESÄ ma-pe'!$K$39</f>
        <v>0.69791666666666663</v>
      </c>
      <c r="J35" s="128" t="s">
        <v>38</v>
      </c>
      <c r="K35" s="128">
        <f>'Kohde 12 KESÄ ma-pe'!$K$23</f>
        <v>0.82291666666666663</v>
      </c>
      <c r="L35" s="205"/>
      <c r="M35" s="199">
        <f>'Kohde KESÄ LA'!M13</f>
        <v>0.31597222221252097</v>
      </c>
      <c r="N35" s="128" t="s">
        <v>38</v>
      </c>
      <c r="O35" s="199">
        <f>'Kohde KESÄ LA'!M18</f>
        <v>0.61458333333333315</v>
      </c>
      <c r="P35" s="199">
        <f>'Kohde KESÄ LA'!M20</f>
        <v>0.67361111111111072</v>
      </c>
    </row>
    <row r="36" spans="1:16" s="133" customFormat="1" ht="15" customHeight="1" x14ac:dyDescent="0.2">
      <c r="A36" s="208" t="s">
        <v>142</v>
      </c>
      <c r="B36" s="98">
        <f>'Kohde 12 KESÄ ma-pe'!$S$28</f>
        <v>0.31944444444444448</v>
      </c>
      <c r="C36" s="98">
        <f>'Kohde 12 KESÄ ma-pe'!S14</f>
        <v>0.3611111111111111</v>
      </c>
      <c r="D36" s="98">
        <f>'Kohde 12 KESÄ ma-pe'!S32</f>
        <v>0.40277777777777779</v>
      </c>
      <c r="E36" s="98">
        <f>'Kohde 12 KESÄ ma-pe'!S34</f>
        <v>0.49652777777777773</v>
      </c>
      <c r="F36" s="98">
        <f>'Kohde 12 KESÄ ma-pe'!$S$17</f>
        <v>0.57638888888888873</v>
      </c>
      <c r="G36" s="98">
        <f>'Kohde 12 KESÄ ma-pe'!S37</f>
        <v>0.61805555555555547</v>
      </c>
      <c r="H36" s="98">
        <f>'Kohde 12 KESÄ ma-pe'!S19</f>
        <v>0.6597222222222221</v>
      </c>
      <c r="I36" s="114">
        <f>'Kohde 12 KESÄ ma-pe'!S39</f>
        <v>0.70138888888888884</v>
      </c>
      <c r="J36" s="98">
        <f>'Kohde 12 KESÄ ma-pe'!S21</f>
        <v>0.74305555555555547</v>
      </c>
      <c r="K36" s="98">
        <f>'Kohde 12 KESÄ ma-pe'!S23</f>
        <v>0.82638888888888884</v>
      </c>
      <c r="L36" s="205"/>
      <c r="M36" s="114">
        <f>'Kohde KESÄ LA'!O13</f>
        <v>0.31944444443474318</v>
      </c>
      <c r="N36" s="201">
        <f>'Kohde KESÄ LA'!O15</f>
        <v>0.38194444443474318</v>
      </c>
      <c r="O36" s="201">
        <f>'Kohde KESÄ LA'!O18</f>
        <v>0.61805555555555536</v>
      </c>
      <c r="P36" s="201">
        <f>'Kohde KESÄ LA'!O20</f>
        <v>0.67708333333333293</v>
      </c>
    </row>
    <row r="37" spans="1:16" s="133" customFormat="1" ht="15" customHeight="1" x14ac:dyDescent="0.2">
      <c r="A37" s="136" t="s">
        <v>41</v>
      </c>
      <c r="B37" s="156">
        <f>'Kohde 12 KESÄ ma-pe'!$Q$29</f>
        <v>0.32430555555555557</v>
      </c>
      <c r="C37" s="128"/>
      <c r="D37" s="128"/>
      <c r="E37" s="128"/>
      <c r="F37" s="128"/>
      <c r="G37" s="128"/>
      <c r="H37" s="128"/>
      <c r="I37" s="128"/>
      <c r="J37" s="128"/>
      <c r="K37" s="128"/>
      <c r="L37" s="128"/>
    </row>
    <row r="38" spans="1:16" s="133" customFormat="1" ht="15" customHeight="1" x14ac:dyDescent="0.2">
      <c r="A38" s="208" t="s">
        <v>61</v>
      </c>
      <c r="B38" s="158">
        <f>'Kohde 12 KESÄ ma-pe'!$S$29</f>
        <v>0.32777777777777778</v>
      </c>
      <c r="C38" s="149"/>
      <c r="D38" s="149"/>
      <c r="E38" s="149"/>
      <c r="F38" s="149"/>
      <c r="G38" s="149"/>
      <c r="H38" s="149"/>
      <c r="I38" s="149"/>
      <c r="J38" s="149"/>
      <c r="K38" s="149"/>
      <c r="L38" s="205"/>
      <c r="M38" s="202"/>
      <c r="N38" s="202"/>
      <c r="O38" s="202"/>
      <c r="P38" s="202"/>
    </row>
    <row r="39" spans="1:16" s="133" customFormat="1" ht="15" customHeight="1" x14ac:dyDescent="0.2">
      <c r="A39" s="39"/>
      <c r="B39" s="129" t="s">
        <v>153</v>
      </c>
      <c r="C39" s="128"/>
      <c r="D39" s="128"/>
      <c r="E39" s="128"/>
      <c r="F39" s="128"/>
      <c r="G39" s="128"/>
      <c r="H39" s="128"/>
      <c r="I39" s="81"/>
      <c r="J39" s="128"/>
      <c r="K39" s="128"/>
      <c r="L39" s="205"/>
    </row>
    <row r="40" spans="1:16" ht="15" customHeight="1" x14ac:dyDescent="0.25">
      <c r="A40" s="37"/>
      <c r="B40" s="128"/>
      <c r="C40" s="128"/>
      <c r="D40" s="128"/>
      <c r="E40" s="128"/>
      <c r="F40" s="128"/>
      <c r="G40" s="128"/>
      <c r="H40" s="128"/>
      <c r="I40" s="128"/>
    </row>
    <row r="41" spans="1:16" s="133" customFormat="1" ht="15" customHeight="1" x14ac:dyDescent="0.2">
      <c r="A41" s="134"/>
      <c r="B41" s="135"/>
      <c r="F41" s="132"/>
      <c r="G41" s="132"/>
    </row>
    <row r="42" spans="1:16" ht="15" customHeight="1" x14ac:dyDescent="0.25">
      <c r="A42" s="134"/>
      <c r="B42" s="135"/>
      <c r="F42" s="132"/>
      <c r="G42" s="132"/>
    </row>
    <row r="43" spans="1:16" ht="15" customHeight="1" x14ac:dyDescent="0.25">
      <c r="B43" s="136"/>
      <c r="F43" s="132"/>
      <c r="G43" s="132"/>
    </row>
    <row r="44" spans="1:16" ht="15" customHeight="1" x14ac:dyDescent="0.25">
      <c r="A44" s="39"/>
      <c r="B44" s="133"/>
      <c r="F44" s="132"/>
      <c r="G44" s="132"/>
    </row>
  </sheetData>
  <mergeCells count="1">
    <mergeCell ref="D23:K23"/>
  </mergeCells>
  <printOptions horizontalCentered="1"/>
  <pageMargins left="0.51181102362204722" right="0.51181102362204722" top="1.1811023622047245" bottom="0.74803149606299213" header="0.31496062992125984" footer="0.31496062992125984"/>
  <pageSetup paperSize="9" scale="41" orientation="portrait" r:id="rId1"/>
  <headerFooter>
    <oddHeader>&amp;L&amp;G</oddHead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42"/>
  <sheetViews>
    <sheetView workbookViewId="0"/>
  </sheetViews>
  <sheetFormatPr defaultRowHeight="15" x14ac:dyDescent="0.25"/>
  <cols>
    <col min="1" max="1" width="10" customWidth="1"/>
    <col min="4" max="4" width="9.140625" style="5"/>
    <col min="5" max="5" width="43.85546875" customWidth="1"/>
  </cols>
  <sheetData>
    <row r="1" spans="1:5" s="95" customFormat="1" ht="12" x14ac:dyDescent="0.2">
      <c r="A1" s="95" t="s">
        <v>19</v>
      </c>
      <c r="D1" s="1"/>
    </row>
    <row r="2" spans="1:5" s="95" customFormat="1" ht="12" x14ac:dyDescent="0.2">
      <c r="D2" s="1"/>
    </row>
    <row r="3" spans="1:5" s="95" customFormat="1" ht="12" x14ac:dyDescent="0.2">
      <c r="A3" s="95" t="s">
        <v>9</v>
      </c>
      <c r="B3" s="95" t="s">
        <v>10</v>
      </c>
      <c r="D3" s="6" t="s">
        <v>12</v>
      </c>
      <c r="E3" s="95" t="s">
        <v>20</v>
      </c>
    </row>
    <row r="4" spans="1:5" s="95" customFormat="1" ht="12" x14ac:dyDescent="0.2">
      <c r="D4" s="6"/>
    </row>
    <row r="5" spans="1:5" s="95" customFormat="1" ht="12" x14ac:dyDescent="0.2">
      <c r="A5" s="10"/>
      <c r="C5" s="95" t="str">
        <f t="shared" ref="C5:C13" si="0">CONCATENATE(A5," ",B5)</f>
        <v xml:space="preserve"> </v>
      </c>
      <c r="D5" s="6"/>
    </row>
    <row r="6" spans="1:5" s="95" customFormat="1" ht="12" x14ac:dyDescent="0.2">
      <c r="A6" s="10">
        <v>700</v>
      </c>
      <c r="B6" s="95">
        <v>0</v>
      </c>
      <c r="C6" s="95" t="str">
        <f t="shared" si="0"/>
        <v>700 0</v>
      </c>
      <c r="D6" s="6">
        <v>32.9</v>
      </c>
      <c r="E6" s="95" t="s">
        <v>43</v>
      </c>
    </row>
    <row r="7" spans="1:5" s="95" customFormat="1" ht="12" x14ac:dyDescent="0.2">
      <c r="A7" s="10">
        <v>700</v>
      </c>
      <c r="B7" s="95">
        <v>1</v>
      </c>
      <c r="C7" s="95" t="str">
        <f t="shared" si="0"/>
        <v>700 1</v>
      </c>
      <c r="D7" s="6">
        <v>33.1</v>
      </c>
      <c r="E7" s="95" t="s">
        <v>44</v>
      </c>
    </row>
    <row r="8" spans="1:5" s="95" customFormat="1" ht="12" x14ac:dyDescent="0.2">
      <c r="A8" s="10"/>
      <c r="C8" s="95" t="str">
        <f t="shared" si="0"/>
        <v xml:space="preserve"> </v>
      </c>
      <c r="D8" s="6"/>
    </row>
    <row r="9" spans="1:5" s="95" customFormat="1" ht="12" x14ac:dyDescent="0.2">
      <c r="A9" s="10">
        <v>601</v>
      </c>
      <c r="B9" s="95">
        <v>0</v>
      </c>
      <c r="C9" s="95" t="str">
        <f t="shared" si="0"/>
        <v>601 0</v>
      </c>
      <c r="D9" s="6">
        <v>47.6</v>
      </c>
      <c r="E9" s="95" t="s">
        <v>42</v>
      </c>
    </row>
    <row r="10" spans="1:5" s="95" customFormat="1" ht="12" x14ac:dyDescent="0.2">
      <c r="A10" s="10"/>
      <c r="D10" s="6"/>
    </row>
    <row r="11" spans="1:5" s="95" customFormat="1" ht="12" x14ac:dyDescent="0.2">
      <c r="A11" s="10"/>
      <c r="D11" s="1"/>
      <c r="E11" s="40"/>
    </row>
    <row r="12" spans="1:5" s="95" customFormat="1" ht="12" x14ac:dyDescent="0.2">
      <c r="A12" s="10">
        <v>602</v>
      </c>
      <c r="B12" s="95">
        <v>0</v>
      </c>
      <c r="C12" s="95" t="str">
        <f t="shared" si="0"/>
        <v>602 0</v>
      </c>
      <c r="D12" s="6">
        <v>37.299999999999997</v>
      </c>
      <c r="E12" s="95" t="s">
        <v>45</v>
      </c>
    </row>
    <row r="13" spans="1:5" s="95" customFormat="1" ht="12" x14ac:dyDescent="0.2">
      <c r="A13" s="10">
        <v>602</v>
      </c>
      <c r="B13" s="95">
        <v>1</v>
      </c>
      <c r="C13" s="95" t="str">
        <f t="shared" si="0"/>
        <v>602 1</v>
      </c>
      <c r="D13" s="6">
        <v>37.299999999999997</v>
      </c>
      <c r="E13" s="95" t="s">
        <v>182</v>
      </c>
    </row>
    <row r="14" spans="1:5" s="95" customFormat="1" ht="12" x14ac:dyDescent="0.2">
      <c r="A14" s="10"/>
      <c r="D14" s="6"/>
    </row>
    <row r="15" spans="1:5" s="95" customFormat="1" ht="12" x14ac:dyDescent="0.2">
      <c r="A15" s="95">
        <v>610</v>
      </c>
      <c r="B15" s="95">
        <v>0</v>
      </c>
      <c r="C15" s="95" t="str">
        <f>CONCATENATE(A15," ",B15)</f>
        <v>610 0</v>
      </c>
      <c r="D15" s="6">
        <v>36.5</v>
      </c>
      <c r="E15" s="95" t="s">
        <v>47</v>
      </c>
    </row>
    <row r="16" spans="1:5" s="95" customFormat="1" ht="12" x14ac:dyDescent="0.2">
      <c r="A16" s="95">
        <v>610</v>
      </c>
      <c r="B16" s="95">
        <v>1</v>
      </c>
      <c r="C16" s="95" t="str">
        <f t="shared" ref="C16:C31" si="1">CONCATENATE(A16," ",B16)</f>
        <v>610 1</v>
      </c>
      <c r="D16" s="6">
        <v>36.799999999999997</v>
      </c>
      <c r="E16" s="95" t="s">
        <v>48</v>
      </c>
    </row>
    <row r="17" spans="1:5" s="95" customFormat="1" ht="12" x14ac:dyDescent="0.2">
      <c r="D17" s="6"/>
    </row>
    <row r="18" spans="1:5" s="95" customFormat="1" ht="12" x14ac:dyDescent="0.2">
      <c r="A18" s="10">
        <v>701</v>
      </c>
      <c r="B18" s="95">
        <v>1</v>
      </c>
      <c r="C18" s="95" t="str">
        <f t="shared" si="1"/>
        <v>701 1</v>
      </c>
      <c r="D18" s="6">
        <v>40.9</v>
      </c>
      <c r="E18" s="95" t="s">
        <v>49</v>
      </c>
    </row>
    <row r="19" spans="1:5" s="95" customFormat="1" ht="12" x14ac:dyDescent="0.2">
      <c r="A19" s="10" t="s">
        <v>156</v>
      </c>
      <c r="B19" s="95">
        <v>1</v>
      </c>
      <c r="C19" s="95" t="str">
        <f t="shared" si="1"/>
        <v>701A 1</v>
      </c>
      <c r="D19" s="6">
        <v>32.9</v>
      </c>
      <c r="E19" s="95" t="s">
        <v>43</v>
      </c>
    </row>
    <row r="20" spans="1:5" s="95" customFormat="1" ht="12" x14ac:dyDescent="0.2">
      <c r="A20" s="10" t="s">
        <v>157</v>
      </c>
      <c r="B20" s="95">
        <v>1</v>
      </c>
      <c r="C20" s="95" t="str">
        <f t="shared" si="1"/>
        <v>701B 1</v>
      </c>
      <c r="D20" s="6">
        <f>D18-D19</f>
        <v>8</v>
      </c>
      <c r="E20" s="95" t="s">
        <v>158</v>
      </c>
    </row>
    <row r="21" spans="1:5" s="95" customFormat="1" ht="12" x14ac:dyDescent="0.2">
      <c r="A21" s="10"/>
      <c r="D21" s="6"/>
    </row>
    <row r="22" spans="1:5" s="95" customFormat="1" ht="12" x14ac:dyDescent="0.2">
      <c r="A22" s="10">
        <v>702</v>
      </c>
      <c r="B22" s="95">
        <v>0</v>
      </c>
      <c r="C22" s="95" t="str">
        <f t="shared" si="1"/>
        <v>702 0</v>
      </c>
      <c r="D22" s="6">
        <v>43.3</v>
      </c>
      <c r="E22" s="95" t="s">
        <v>50</v>
      </c>
    </row>
    <row r="23" spans="1:5" s="95" customFormat="1" ht="12" x14ac:dyDescent="0.2">
      <c r="A23" s="10">
        <v>702</v>
      </c>
      <c r="B23" s="95">
        <v>1</v>
      </c>
      <c r="C23" s="95" t="str">
        <f t="shared" si="1"/>
        <v>702 1</v>
      </c>
      <c r="D23" s="6">
        <v>43.6</v>
      </c>
      <c r="E23" s="95" t="s">
        <v>51</v>
      </c>
    </row>
    <row r="24" spans="1:5" s="95" customFormat="1" ht="12" x14ac:dyDescent="0.2">
      <c r="A24" s="10"/>
      <c r="D24" s="6"/>
    </row>
    <row r="25" spans="1:5" s="95" customFormat="1" ht="12" x14ac:dyDescent="0.2">
      <c r="A25" s="10">
        <v>703</v>
      </c>
      <c r="B25" s="95">
        <v>1</v>
      </c>
      <c r="C25" s="95" t="str">
        <f t="shared" si="1"/>
        <v>703 1</v>
      </c>
      <c r="D25" s="6">
        <v>48.5</v>
      </c>
      <c r="E25" s="95" t="s">
        <v>52</v>
      </c>
    </row>
    <row r="26" spans="1:5" s="95" customFormat="1" ht="12" x14ac:dyDescent="0.2">
      <c r="A26" s="10" t="s">
        <v>165</v>
      </c>
      <c r="B26" s="95">
        <v>1</v>
      </c>
      <c r="C26" s="95" t="str">
        <f t="shared" ref="C26" si="2">CONCATENATE(A26," ",B26)</f>
        <v>703A 1</v>
      </c>
      <c r="D26" s="6">
        <v>40.299999999999997</v>
      </c>
      <c r="E26" s="95" t="s">
        <v>166</v>
      </c>
    </row>
    <row r="27" spans="1:5" s="95" customFormat="1" ht="12" x14ac:dyDescent="0.2">
      <c r="A27" s="10"/>
      <c r="D27" s="6"/>
    </row>
    <row r="28" spans="1:5" s="95" customFormat="1" ht="12" x14ac:dyDescent="0.2">
      <c r="A28" s="10">
        <v>710</v>
      </c>
      <c r="B28" s="95">
        <v>1</v>
      </c>
      <c r="C28" s="95" t="str">
        <f t="shared" si="1"/>
        <v>710 1</v>
      </c>
      <c r="D28" s="6">
        <v>37</v>
      </c>
      <c r="E28" s="95" t="s">
        <v>53</v>
      </c>
    </row>
    <row r="29" spans="1:5" s="95" customFormat="1" ht="12" x14ac:dyDescent="0.2">
      <c r="A29" s="10"/>
      <c r="D29" s="6"/>
    </row>
    <row r="30" spans="1:5" s="95" customFormat="1" ht="12" x14ac:dyDescent="0.2">
      <c r="A30" s="10">
        <v>751</v>
      </c>
      <c r="B30" s="95">
        <v>0</v>
      </c>
      <c r="C30" s="95" t="str">
        <f t="shared" si="1"/>
        <v>751 0</v>
      </c>
      <c r="D30" s="6">
        <v>21.7</v>
      </c>
      <c r="E30" s="95" t="s">
        <v>130</v>
      </c>
    </row>
    <row r="31" spans="1:5" s="95" customFormat="1" ht="12" x14ac:dyDescent="0.2">
      <c r="A31" s="10">
        <v>751</v>
      </c>
      <c r="B31" s="95">
        <v>1</v>
      </c>
      <c r="C31" s="95" t="str">
        <f t="shared" si="1"/>
        <v>751 1</v>
      </c>
      <c r="D31" s="6">
        <v>21.7</v>
      </c>
      <c r="E31" s="95" t="s">
        <v>131</v>
      </c>
    </row>
    <row r="32" spans="1:5" s="95" customFormat="1" ht="12" x14ac:dyDescent="0.2">
      <c r="D32" s="6"/>
    </row>
    <row r="33" spans="1:5" s="95" customFormat="1" ht="12" x14ac:dyDescent="0.2">
      <c r="A33" s="10" t="s">
        <v>119</v>
      </c>
      <c r="B33" s="95">
        <v>1</v>
      </c>
      <c r="C33" s="95" t="str">
        <f t="shared" ref="C33:C42" si="3">CONCATENATE(A33," ",B33)</f>
        <v>751B 1</v>
      </c>
      <c r="D33" s="6">
        <v>12.3</v>
      </c>
      <c r="E33" s="95" t="s">
        <v>120</v>
      </c>
    </row>
    <row r="34" spans="1:5" s="95" customFormat="1" ht="12" x14ac:dyDescent="0.2">
      <c r="A34" s="10" t="s">
        <v>119</v>
      </c>
      <c r="B34" s="95">
        <v>0</v>
      </c>
      <c r="C34" s="95" t="str">
        <f t="shared" si="3"/>
        <v>751B 0</v>
      </c>
      <c r="D34" s="6">
        <v>12.3</v>
      </c>
      <c r="E34" s="95" t="s">
        <v>121</v>
      </c>
    </row>
    <row r="35" spans="1:5" s="95" customFormat="1" ht="12" x14ac:dyDescent="0.2">
      <c r="A35" s="10"/>
      <c r="D35" s="6"/>
    </row>
    <row r="36" spans="1:5" s="95" customFormat="1" ht="12" x14ac:dyDescent="0.2">
      <c r="A36" s="10" t="s">
        <v>122</v>
      </c>
      <c r="B36" s="95">
        <v>1</v>
      </c>
      <c r="C36" s="95" t="str">
        <f t="shared" si="3"/>
        <v>751C 1</v>
      </c>
      <c r="D36" s="6">
        <v>22.5</v>
      </c>
      <c r="E36" s="95" t="s">
        <v>123</v>
      </c>
    </row>
    <row r="37" spans="1:5" s="95" customFormat="1" ht="12" x14ac:dyDescent="0.2">
      <c r="A37" s="10" t="s">
        <v>122</v>
      </c>
      <c r="B37" s="95">
        <v>0</v>
      </c>
      <c r="C37" s="95" t="str">
        <f t="shared" si="3"/>
        <v>751C 0</v>
      </c>
      <c r="D37" s="6">
        <v>22.5</v>
      </c>
      <c r="E37" s="95" t="s">
        <v>124</v>
      </c>
    </row>
    <row r="38" spans="1:5" s="95" customFormat="1" ht="12" x14ac:dyDescent="0.2">
      <c r="A38" s="10"/>
      <c r="C38" s="95" t="str">
        <f t="shared" si="3"/>
        <v xml:space="preserve"> </v>
      </c>
      <c r="D38" s="6"/>
    </row>
    <row r="39" spans="1:5" s="95" customFormat="1" ht="12" x14ac:dyDescent="0.2">
      <c r="A39" s="10" t="s">
        <v>134</v>
      </c>
      <c r="B39" s="95">
        <v>0</v>
      </c>
      <c r="C39" s="95" t="str">
        <f t="shared" si="3"/>
        <v>751D 0</v>
      </c>
      <c r="D39" s="6">
        <v>9.1999999999999993</v>
      </c>
      <c r="E39" s="95" t="s">
        <v>135</v>
      </c>
    </row>
    <row r="40" spans="1:5" s="95" customFormat="1" ht="12" x14ac:dyDescent="0.2">
      <c r="A40" s="10"/>
      <c r="C40" s="95" t="str">
        <f t="shared" si="3"/>
        <v xml:space="preserve"> </v>
      </c>
      <c r="D40" s="1"/>
    </row>
    <row r="41" spans="1:5" s="95" customFormat="1" ht="12" x14ac:dyDescent="0.2">
      <c r="A41" s="10" t="s">
        <v>129</v>
      </c>
      <c r="B41" s="95">
        <v>0</v>
      </c>
      <c r="C41" s="95" t="str">
        <f t="shared" si="3"/>
        <v>S1 0</v>
      </c>
      <c r="D41" s="1">
        <v>0.9</v>
      </c>
      <c r="E41" s="95" t="s">
        <v>132</v>
      </c>
    </row>
    <row r="42" spans="1:5" s="95" customFormat="1" ht="12" x14ac:dyDescent="0.2">
      <c r="A42" s="10" t="s">
        <v>151</v>
      </c>
      <c r="B42" s="95">
        <v>0</v>
      </c>
      <c r="C42" s="95" t="str">
        <f t="shared" si="3"/>
        <v>S2 0</v>
      </c>
      <c r="D42" s="1">
        <v>2.9</v>
      </c>
      <c r="E42" s="95" t="s">
        <v>152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Q22"/>
  <sheetViews>
    <sheetView workbookViewId="0"/>
  </sheetViews>
  <sheetFormatPr defaultRowHeight="15" x14ac:dyDescent="0.25"/>
  <cols>
    <col min="1" max="1" width="9.85546875" customWidth="1"/>
    <col min="2" max="5" width="9.42578125" hidden="1" customWidth="1"/>
    <col min="6" max="6" width="9.42578125" customWidth="1"/>
    <col min="7" max="7" width="12.140625" customWidth="1"/>
    <col min="8" max="8" width="12.85546875" customWidth="1"/>
    <col min="9" max="9" width="9.42578125" customWidth="1"/>
    <col min="10" max="10" width="10.85546875" style="23" customWidth="1"/>
    <col min="12" max="12" width="12.85546875" bestFit="1" customWidth="1"/>
  </cols>
  <sheetData>
    <row r="1" spans="1:17" x14ac:dyDescent="0.25">
      <c r="D1" s="21"/>
      <c r="F1" s="22"/>
      <c r="G1" s="21"/>
    </row>
    <row r="2" spans="1:17" x14ac:dyDescent="0.25">
      <c r="D2" s="21"/>
      <c r="F2" s="22"/>
      <c r="G2" s="21"/>
    </row>
    <row r="3" spans="1:17" x14ac:dyDescent="0.25">
      <c r="A3" s="23"/>
      <c r="B3" s="23"/>
      <c r="C3" s="23"/>
      <c r="D3" s="80"/>
      <c r="E3" s="23"/>
      <c r="F3" s="23"/>
      <c r="G3" s="80"/>
      <c r="H3" s="23"/>
      <c r="I3" s="23"/>
      <c r="J3" s="231"/>
      <c r="K3" s="60"/>
      <c r="L3" s="60"/>
      <c r="M3" s="60"/>
      <c r="N3" s="60"/>
    </row>
    <row r="4" spans="1:17" ht="15.75" thickBot="1" x14ac:dyDescent="0.3">
      <c r="A4" s="232" t="s">
        <v>201</v>
      </c>
      <c r="B4" s="23"/>
      <c r="C4" s="23"/>
      <c r="D4" s="80"/>
      <c r="E4" s="23"/>
      <c r="F4" s="232" t="s">
        <v>200</v>
      </c>
      <c r="G4" s="233"/>
      <c r="H4" s="232"/>
      <c r="I4" s="232"/>
      <c r="J4" s="234" t="s">
        <v>199</v>
      </c>
      <c r="K4" s="231"/>
      <c r="L4" s="231"/>
      <c r="M4" s="231"/>
      <c r="N4" s="231"/>
    </row>
    <row r="5" spans="1:17" x14ac:dyDescent="0.25">
      <c r="A5" s="239" t="s">
        <v>117</v>
      </c>
      <c r="B5" s="240"/>
      <c r="C5" s="240"/>
      <c r="D5" s="241"/>
      <c r="E5" s="240"/>
      <c r="F5" s="242" t="s">
        <v>12</v>
      </c>
      <c r="G5" s="243" t="s">
        <v>113</v>
      </c>
      <c r="H5" s="242" t="s">
        <v>114</v>
      </c>
      <c r="I5" s="240"/>
      <c r="J5" s="242" t="s">
        <v>12</v>
      </c>
      <c r="K5" s="243" t="s">
        <v>113</v>
      </c>
      <c r="L5" s="244" t="s">
        <v>114</v>
      </c>
      <c r="M5" s="231"/>
      <c r="N5" s="223"/>
      <c r="O5" s="83" t="s">
        <v>28</v>
      </c>
      <c r="P5" s="84" t="s">
        <v>27</v>
      </c>
    </row>
    <row r="6" spans="1:17" x14ac:dyDescent="0.25">
      <c r="A6" s="245" t="s">
        <v>197</v>
      </c>
      <c r="B6" s="236"/>
      <c r="C6" s="236"/>
      <c r="D6" s="236"/>
      <c r="E6" s="236"/>
      <c r="F6" s="236">
        <f>'Kohde 12 TALVI Ma-Pe KP'!K8</f>
        <v>1062.2</v>
      </c>
      <c r="G6" s="237">
        <f>'Kohde 12 TALVI Ma-Pe KP'!K7</f>
        <v>1.1583333333333328</v>
      </c>
      <c r="H6" s="236">
        <f>'Kohde 12 TALVI Ma-Pe KP'!K9</f>
        <v>3</v>
      </c>
      <c r="I6" s="236"/>
      <c r="J6" s="236">
        <f>F6*P7</f>
        <v>198631.4</v>
      </c>
      <c r="K6" s="237">
        <f>G6*P7</f>
        <v>216.60833333333323</v>
      </c>
      <c r="L6" s="246">
        <f>H6*P7</f>
        <v>561</v>
      </c>
      <c r="M6" s="231"/>
      <c r="N6" s="224" t="s">
        <v>203</v>
      </c>
      <c r="O6" s="225"/>
      <c r="P6" s="226"/>
    </row>
    <row r="7" spans="1:17" x14ac:dyDescent="0.25">
      <c r="A7" s="245" t="s">
        <v>198</v>
      </c>
      <c r="B7" s="236"/>
      <c r="C7" s="236"/>
      <c r="D7" s="236"/>
      <c r="E7" s="236"/>
      <c r="F7" s="236">
        <f>'Kohde 12 TALVI Ma-Pe LP'!J8</f>
        <v>749.9</v>
      </c>
      <c r="G7" s="237">
        <f>'Kohde 12 TALVI Ma-Pe LP'!J7</f>
        <v>0.85972222222222205</v>
      </c>
      <c r="H7" s="236">
        <f>'Kohde 12 TALVI Ma-Pe LP'!J9</f>
        <v>2</v>
      </c>
      <c r="I7" s="236"/>
      <c r="J7" s="236">
        <f>F7*P8</f>
        <v>14248.1</v>
      </c>
      <c r="K7" s="237">
        <f>G7*P8</f>
        <v>16.334722222222219</v>
      </c>
      <c r="L7" s="246">
        <f>H7*P8</f>
        <v>38</v>
      </c>
      <c r="M7" s="231"/>
      <c r="N7" s="227" t="s">
        <v>197</v>
      </c>
      <c r="O7" s="60">
        <v>0</v>
      </c>
      <c r="P7" s="85">
        <v>187</v>
      </c>
    </row>
    <row r="8" spans="1:17" ht="15.75" thickBot="1" x14ac:dyDescent="0.3">
      <c r="A8" s="247" t="s">
        <v>24</v>
      </c>
      <c r="B8" s="248"/>
      <c r="C8" s="248"/>
      <c r="D8" s="248"/>
      <c r="E8" s="248"/>
      <c r="F8" s="249">
        <f>'Kohde 12 TALVI La'!I7</f>
        <v>272.59999999999997</v>
      </c>
      <c r="G8" s="250">
        <f>'Kohde 12 TALVI La'!I6</f>
        <v>0.24444444444444391</v>
      </c>
      <c r="H8" s="248">
        <f>'Kohde 12 TALVI La'!I8</f>
        <v>1</v>
      </c>
      <c r="I8" s="248"/>
      <c r="J8" s="248">
        <f>F8*O9</f>
        <v>2453.3999999999996</v>
      </c>
      <c r="K8" s="250">
        <f>G8*P9</f>
        <v>9.7777777777777573</v>
      </c>
      <c r="L8" s="251">
        <f>H8*P9</f>
        <v>40</v>
      </c>
      <c r="M8" s="231"/>
      <c r="N8" s="228" t="s">
        <v>198</v>
      </c>
      <c r="O8" s="60">
        <v>49</v>
      </c>
      <c r="P8" s="85">
        <v>19</v>
      </c>
    </row>
    <row r="9" spans="1:17" x14ac:dyDescent="0.25">
      <c r="A9" s="235"/>
      <c r="B9" s="23"/>
      <c r="C9" s="23"/>
      <c r="D9" s="23"/>
      <c r="E9" s="23"/>
      <c r="F9" s="23"/>
      <c r="G9" s="23"/>
      <c r="H9" s="23"/>
      <c r="I9" s="23"/>
      <c r="J9" s="231"/>
      <c r="K9" s="231"/>
      <c r="L9" s="231"/>
      <c r="M9" s="231"/>
      <c r="N9" s="228" t="s">
        <v>24</v>
      </c>
      <c r="O9" s="60">
        <v>9</v>
      </c>
      <c r="P9" s="85">
        <v>40</v>
      </c>
    </row>
    <row r="10" spans="1:17" ht="15.75" thickBot="1" x14ac:dyDescent="0.3">
      <c r="A10" s="253" t="s">
        <v>202</v>
      </c>
      <c r="B10" s="23"/>
      <c r="C10" s="23"/>
      <c r="D10" s="80"/>
      <c r="E10" s="23"/>
      <c r="F10" s="23"/>
      <c r="G10" s="80"/>
      <c r="H10" s="23"/>
      <c r="I10" s="23"/>
      <c r="J10" s="231"/>
      <c r="K10" s="231"/>
      <c r="L10" s="231"/>
      <c r="M10" s="231"/>
      <c r="N10" s="229" t="s">
        <v>25</v>
      </c>
      <c r="O10" s="225">
        <v>10</v>
      </c>
      <c r="P10" s="226">
        <v>48</v>
      </c>
    </row>
    <row r="11" spans="1:17" ht="15.75" thickBot="1" x14ac:dyDescent="0.3">
      <c r="A11" s="239" t="s">
        <v>117</v>
      </c>
      <c r="B11" s="240"/>
      <c r="C11" s="240"/>
      <c r="D11" s="241"/>
      <c r="E11" s="240"/>
      <c r="F11" s="242" t="s">
        <v>12</v>
      </c>
      <c r="G11" s="243" t="s">
        <v>113</v>
      </c>
      <c r="H11" s="242" t="s">
        <v>114</v>
      </c>
      <c r="I11" s="240"/>
      <c r="J11" s="242" t="s">
        <v>12</v>
      </c>
      <c r="K11" s="243" t="s">
        <v>113</v>
      </c>
      <c r="L11" s="244" t="s">
        <v>114</v>
      </c>
      <c r="M11" s="231"/>
      <c r="N11" s="230" t="s">
        <v>3</v>
      </c>
      <c r="O11" s="167">
        <f>SUM(O7:O10)</f>
        <v>68</v>
      </c>
      <c r="P11" s="168">
        <f>SUM(P7:P10)</f>
        <v>294</v>
      </c>
      <c r="Q11">
        <f>SUM(O11:P11)</f>
        <v>362</v>
      </c>
    </row>
    <row r="12" spans="1:17" x14ac:dyDescent="0.25">
      <c r="A12" s="245" t="s">
        <v>34</v>
      </c>
      <c r="B12" s="236"/>
      <c r="C12" s="236"/>
      <c r="D12" s="236"/>
      <c r="E12" s="236"/>
      <c r="F12" s="252">
        <f>'Kohde 12 KESÄ ma-pe'!J8</f>
        <v>704</v>
      </c>
      <c r="G12" s="237">
        <f>'Kohde 12 KESÄ ma-pe'!J7</f>
        <v>0.80555555555555525</v>
      </c>
      <c r="H12" s="236">
        <f>'Kohde 12 KESÄ ma-pe'!J9</f>
        <v>2</v>
      </c>
      <c r="I12" s="236"/>
      <c r="J12" s="236">
        <f>F12*O8</f>
        <v>34496</v>
      </c>
      <c r="K12" s="237">
        <f>G12*O8</f>
        <v>39.472222222222207</v>
      </c>
      <c r="L12" s="246">
        <f>H12*O8</f>
        <v>98</v>
      </c>
      <c r="M12" s="231"/>
      <c r="N12" s="231"/>
    </row>
    <row r="13" spans="1:17" x14ac:dyDescent="0.25">
      <c r="A13" s="245" t="s">
        <v>24</v>
      </c>
      <c r="B13" s="236"/>
      <c r="C13" s="236"/>
      <c r="D13" s="236"/>
      <c r="E13" s="236"/>
      <c r="F13" s="238">
        <f>'Kohde KESÄ LA'!I7</f>
        <v>272.59999999999997</v>
      </c>
      <c r="G13" s="237">
        <f>'Kohde KESÄ LA'!I6</f>
        <v>0.24444444444444391</v>
      </c>
      <c r="H13" s="236">
        <f>'Kohde KESÄ LA'!I8</f>
        <v>1</v>
      </c>
      <c r="I13" s="236"/>
      <c r="J13" s="236">
        <f>F13*O8</f>
        <v>13357.399999999998</v>
      </c>
      <c r="K13" s="237">
        <f>G13*O9</f>
        <v>2.1999999999999953</v>
      </c>
      <c r="L13" s="246">
        <f>H13*O9</f>
        <v>9</v>
      </c>
      <c r="M13" s="231"/>
      <c r="N13" s="231"/>
    </row>
    <row r="14" spans="1:17" ht="15.75" thickBot="1" x14ac:dyDescent="0.3">
      <c r="A14" s="247" t="s">
        <v>25</v>
      </c>
      <c r="B14" s="248"/>
      <c r="C14" s="248"/>
      <c r="D14" s="248"/>
      <c r="E14" s="248"/>
      <c r="F14" s="248"/>
      <c r="G14" s="248"/>
      <c r="H14" s="248"/>
      <c r="I14" s="248"/>
      <c r="J14" s="248"/>
      <c r="K14" s="248"/>
      <c r="L14" s="251"/>
      <c r="M14" s="231"/>
      <c r="N14" s="231"/>
    </row>
    <row r="15" spans="1:17" x14ac:dyDescent="0.25">
      <c r="J15" s="231"/>
      <c r="K15" s="60"/>
      <c r="L15" s="60"/>
      <c r="M15" s="60"/>
      <c r="N15" s="60"/>
    </row>
    <row r="16" spans="1:17" x14ac:dyDescent="0.25">
      <c r="J16"/>
    </row>
    <row r="22" spans="12:12" x14ac:dyDescent="0.25">
      <c r="L22" s="20"/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9</vt:i4>
      </vt:variant>
    </vt:vector>
  </HeadingPairs>
  <TitlesOfParts>
    <vt:vector size="9" baseType="lpstr">
      <vt:lpstr>Kohde 12 TALVI Ma-Pe KP</vt:lpstr>
      <vt:lpstr>Kohde 12 TALVI Ma-Pe LP</vt:lpstr>
      <vt:lpstr>Kohde 12 TALVI La</vt:lpstr>
      <vt:lpstr>TALVI aikat Hml-Hauho</vt:lpstr>
      <vt:lpstr>Kohde 12 KESÄ ma-pe</vt:lpstr>
      <vt:lpstr>Kohde KESÄ LA</vt:lpstr>
      <vt:lpstr>KESÄ Hml-Hauho</vt:lpstr>
      <vt:lpstr>Kilometrit</vt:lpstr>
      <vt:lpstr>Suoritteet</vt:lpstr>
    </vt:vector>
  </TitlesOfParts>
  <Company>Hämeenlinnan kaupunki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Venesjärvi Kim</dc:creator>
  <cp:lastModifiedBy>Korte Aapo</cp:lastModifiedBy>
  <cp:lastPrinted>2020-07-09T08:37:17Z</cp:lastPrinted>
  <dcterms:created xsi:type="dcterms:W3CDTF">2019-10-18T08:20:47Z</dcterms:created>
  <dcterms:modified xsi:type="dcterms:W3CDTF">2023-11-17T07:15:21Z</dcterms:modified>
</cp:coreProperties>
</file>